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65431" windowWidth="6885" windowHeight="4830" tabRatio="826" activeTab="2"/>
  </bookViews>
  <sheets>
    <sheet name="PL1.CD thu chi" sheetId="1" r:id="rId1"/>
    <sheet name="PL2.Thu NSNN" sheetId="2" r:id="rId2"/>
    <sheet name="PL3.Chi NSNN" sheetId="3" r:id="rId3"/>
  </sheets>
  <definedNames>
    <definedName name="_xlnm.Print_Titles" localSheetId="1">'PL2.Thu NSNN'!$7:$10</definedName>
    <definedName name="_xlnm.Print_Titles" localSheetId="2">'PL3.Chi NSNN'!$7:$10</definedName>
  </definedNames>
  <calcPr fullCalcOnLoad="1"/>
</workbook>
</file>

<file path=xl/comments2.xml><?xml version="1.0" encoding="utf-8"?>
<comments xmlns="http://schemas.openxmlformats.org/spreadsheetml/2006/main">
  <authors>
    <author>Smart</author>
  </authors>
  <commentList>
    <comment ref="D11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bao gồm của địa phương và trung ương (1.330+29) tỷ</t>
        </r>
      </text>
    </comment>
    <comment ref="H11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chú ý trùng phí,lệ phí</t>
        </r>
      </text>
    </comment>
    <comment ref="I11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chú ý trùng phí,lệ phí</t>
        </r>
      </text>
    </comment>
    <comment ref="J11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chú ý trùng phí,lệ phí</t>
        </r>
      </text>
    </comment>
    <comment ref="D13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lệch thu xổ số kiến thiết</t>
        </r>
      </text>
    </comment>
    <comment ref="D51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thu tại xã</t>
        </r>
      </text>
    </comment>
    <comment ref="E77" authorId="0">
      <text>
        <r>
          <rPr>
            <b/>
            <sz val="8"/>
            <rFont val="Tahoma"/>
            <family val="0"/>
          </rPr>
          <t>Smart:</t>
        </r>
        <r>
          <rPr>
            <sz val="8"/>
            <rFont val="Tahoma"/>
            <family val="0"/>
          </rPr>
          <t xml:space="preserve">
huy động khác</t>
        </r>
      </text>
    </comment>
  </commentList>
</comments>
</file>

<file path=xl/sharedStrings.xml><?xml version="1.0" encoding="utf-8"?>
<sst xmlns="http://schemas.openxmlformats.org/spreadsheetml/2006/main" count="295" uniqueCount="248">
  <si>
    <t>Đơn vị: triệu đồng</t>
  </si>
  <si>
    <t xml:space="preserve">PHẦN THU </t>
  </si>
  <si>
    <t>Tổng thu NSĐP</t>
  </si>
  <si>
    <t>Thu NS tỉnh</t>
  </si>
  <si>
    <t>Thu NS huyện</t>
  </si>
  <si>
    <t>Thu NS xã</t>
  </si>
  <si>
    <t xml:space="preserve">PHẦN CHI  </t>
  </si>
  <si>
    <t>Tổng chi NSĐP</t>
  </si>
  <si>
    <t>A</t>
  </si>
  <si>
    <t>B</t>
  </si>
  <si>
    <t>TỔNG SỐ THU (A+B)</t>
  </si>
  <si>
    <t>TỔNG SỐ CHI  (A+B)</t>
  </si>
  <si>
    <t>A. Tổng thu cân đối NS</t>
  </si>
  <si>
    <t>A. Tổng chi cân đối NS</t>
  </si>
  <si>
    <t>1- Chi đầu tư phát triển</t>
  </si>
  <si>
    <t>2- Các khoản thu phân chia theo tỷ lệ (%)</t>
  </si>
  <si>
    <t>1.1- Chi đầu tư XDCB</t>
  </si>
  <si>
    <t>3- Thu tiền vay đầu tư XDCSHT</t>
  </si>
  <si>
    <t>2- Chi thường xuyên</t>
  </si>
  <si>
    <t>3- Chi bổ sung quỹ dự trữ tài chính</t>
  </si>
  <si>
    <t>4- Chi bổ sung cho ngân sách cấp dưới</t>
  </si>
  <si>
    <t>4.1- Chi bổ sung cân đối</t>
  </si>
  <si>
    <t xml:space="preserve">  - Bổ sung cân đối ngân sách</t>
  </si>
  <si>
    <t>4.2- Chi bổ sung có mục tiêu</t>
  </si>
  <si>
    <t xml:space="preserve">  - Bổ sung có mục tiêu</t>
  </si>
  <si>
    <t>6- Chi CT MTQG, 135, 5 triệu ha rừng</t>
  </si>
  <si>
    <t>7- Chi NS cấp dưới nộp lên</t>
  </si>
  <si>
    <t>B. Các khoản thu để lại quản lý qua NSNN</t>
  </si>
  <si>
    <t>B. Chi từ nguồn thu để lại QLqua NSNN</t>
  </si>
  <si>
    <t xml:space="preserve">Tồn quỹ ngân sách năm quyết toán (thu - chi) </t>
  </si>
  <si>
    <t xml:space="preserve">1.2- Chi trả nợ gốc, lãi  theo K3 điều 8 </t>
  </si>
  <si>
    <t>5- Chuyển nguồn</t>
  </si>
  <si>
    <t>CÂN ĐỐI QUYẾT TOÁN THU - CHI NGÂN SÁCH ĐỊA PHƯƠNG NĂM 2013</t>
  </si>
  <si>
    <t>4- Thu kết dư ngân sách</t>
  </si>
  <si>
    <t>6- Thu bổ sung từ ngân sách cấp trên</t>
  </si>
  <si>
    <t xml:space="preserve"> 7- Thu ngân sách cấp dưới nộp lên</t>
  </si>
  <si>
    <t>1- Các khoản thu hưởng 100%</t>
  </si>
  <si>
    <t>BÁO CÁO QUYẾT TOÁN THU NGÂN SÁCH NHÀ NƯỚC NĂM 2013</t>
  </si>
  <si>
    <r>
      <t>Đơn vị:</t>
    </r>
    <r>
      <rPr>
        <i/>
        <sz val="12"/>
        <rFont val="Times New Roman"/>
        <family val="1"/>
      </rPr>
      <t xml:space="preserve"> triệu đồng</t>
    </r>
  </si>
  <si>
    <t>STT</t>
  </si>
  <si>
    <t>NỘI DUNG CÁC KHOẢN THU</t>
  </si>
  <si>
    <t>Dự toán năm 2013</t>
  </si>
  <si>
    <t>Thực hiện năm 2013</t>
  </si>
  <si>
    <t xml:space="preserve">Chia ra từng cấp ngân sách </t>
  </si>
  <si>
    <t>So sánh (QT/DT)</t>
  </si>
  <si>
    <t>TW giao</t>
  </si>
  <si>
    <t>HĐND tỉnh giao</t>
  </si>
  <si>
    <t>NSTW</t>
  </si>
  <si>
    <t>NSĐP</t>
  </si>
  <si>
    <t xml:space="preserve">Chia ra </t>
  </si>
  <si>
    <t>NS cấp tỉnh</t>
  </si>
  <si>
    <t>NS cấp huyện</t>
  </si>
  <si>
    <t>NS cấp xã</t>
  </si>
  <si>
    <t xml:space="preserve">BTC </t>
  </si>
  <si>
    <t>3=4+5</t>
  </si>
  <si>
    <t>5=6+7+8</t>
  </si>
  <si>
    <t>9=3/1</t>
  </si>
  <si>
    <t>10=3/2</t>
  </si>
  <si>
    <t xml:space="preserve">TỔNG THU NGÂN SÁCH NHÀ NƯỚC </t>
  </si>
  <si>
    <t xml:space="preserve"> THU CÂN ĐỐI NGÂN SÁCH NHÀ NƯỚC</t>
  </si>
  <si>
    <t>I</t>
  </si>
  <si>
    <t>Thu nội địa</t>
  </si>
  <si>
    <t>Thu từ kinh tế quốc doanh</t>
  </si>
  <si>
    <t>1.1</t>
  </si>
  <si>
    <t xml:space="preserve">Thuế giá trị gia tăng </t>
  </si>
  <si>
    <t>1.2</t>
  </si>
  <si>
    <t>Thuế tiêu thụ đặc biệt hàng sản xuất trong nước</t>
  </si>
  <si>
    <t>1.3</t>
  </si>
  <si>
    <r>
      <t>Thuế thu nhập doanh nghiệp</t>
    </r>
    <r>
      <rPr>
        <vertAlign val="superscript"/>
        <sz val="11"/>
        <rFont val="Times New Roman"/>
        <family val="1"/>
      </rPr>
      <t xml:space="preserve"> </t>
    </r>
  </si>
  <si>
    <t>1.4</t>
  </si>
  <si>
    <r>
      <t xml:space="preserve">Thu từ thu nhập sau thuế </t>
    </r>
    <r>
      <rPr>
        <vertAlign val="superscript"/>
        <sz val="11"/>
        <rFont val="Times New Roman"/>
        <family val="1"/>
      </rPr>
      <t xml:space="preserve"> </t>
    </r>
  </si>
  <si>
    <t>1.5</t>
  </si>
  <si>
    <t>Thuế tài nguyên</t>
  </si>
  <si>
    <t>1.6</t>
  </si>
  <si>
    <t>Thuế môn bài</t>
  </si>
  <si>
    <t>1.7</t>
  </si>
  <si>
    <t>Thu hồi vốn và thu khác</t>
  </si>
  <si>
    <t xml:space="preserve">Thu từ doanh nghiệp đầu tư nước ngoài </t>
  </si>
  <si>
    <t>2.1</t>
  </si>
  <si>
    <t>2.2</t>
  </si>
  <si>
    <t>2.3</t>
  </si>
  <si>
    <t>Thuế thu nhập doanh nghiệp</t>
  </si>
  <si>
    <t>2.5</t>
  </si>
  <si>
    <t>2.6</t>
  </si>
  <si>
    <t>2.7</t>
  </si>
  <si>
    <t>Thu tiền thuê mặt đất, mặt nước, mặt biển</t>
  </si>
  <si>
    <t>2.8</t>
  </si>
  <si>
    <t>Thu khác</t>
  </si>
  <si>
    <t>Thu từ khu vực CTN  và dịch vụ ngoài QD</t>
  </si>
  <si>
    <t>3.1</t>
  </si>
  <si>
    <t>3.2</t>
  </si>
  <si>
    <t>3.3</t>
  </si>
  <si>
    <t>3.4</t>
  </si>
  <si>
    <t>3.5</t>
  </si>
  <si>
    <t>3.6</t>
  </si>
  <si>
    <t>Thuế sử dụng đất nông nghiệp</t>
  </si>
  <si>
    <t>Lệ phí trước bạ</t>
  </si>
  <si>
    <t>Thuế thu nhập cá nhân</t>
  </si>
  <si>
    <t>Thu phí, lệ phí</t>
  </si>
  <si>
    <t>7.1</t>
  </si>
  <si>
    <t>Thu phí, lệ phí Trung ương</t>
  </si>
  <si>
    <t>7.2</t>
  </si>
  <si>
    <t>Thu phí, lệ phí tỉnh</t>
  </si>
  <si>
    <t>7.3</t>
  </si>
  <si>
    <t>Thu phí, lệ phí huyện</t>
  </si>
  <si>
    <t>7.4</t>
  </si>
  <si>
    <t>Thu phí, lệ phí xã, phường, thị trấn</t>
  </si>
  <si>
    <t>Các khoản thu về nhà, đất và khoáng sản</t>
  </si>
  <si>
    <t>8.1</t>
  </si>
  <si>
    <t>Thuế sử dụng đất phi nông nghiệp</t>
  </si>
  <si>
    <t>8.2</t>
  </si>
  <si>
    <t>Thu tiền thuê mặt đất, mặt nước</t>
  </si>
  <si>
    <t>8.3</t>
  </si>
  <si>
    <t xml:space="preserve">Thu tiền sử dụng đất </t>
  </si>
  <si>
    <t>8.4</t>
  </si>
  <si>
    <t>Thuế bảo vệ môi trường</t>
  </si>
  <si>
    <t>Thu tại xã</t>
  </si>
  <si>
    <t>10.1</t>
  </si>
  <si>
    <t>Thu từ hoa lợi công sản, quỹ đất công ích tại xã</t>
  </si>
  <si>
    <t>10.2</t>
  </si>
  <si>
    <t>Thu tiền cho thuê quầy bán hàng</t>
  </si>
  <si>
    <t>10.3</t>
  </si>
  <si>
    <t>Thu hồi các khoản chi năm trước</t>
  </si>
  <si>
    <t>10.4</t>
  </si>
  <si>
    <t>Thu phạt, tịch thu</t>
  </si>
  <si>
    <t>10.5</t>
  </si>
  <si>
    <t>Thu khác tại xã</t>
  </si>
  <si>
    <t>Thu khác ngân sách</t>
  </si>
  <si>
    <t>11.1</t>
  </si>
  <si>
    <t>Thu tiền phạt (không kể phạt tại xã)</t>
  </si>
  <si>
    <t>11.2</t>
  </si>
  <si>
    <t>Thu tịch thu</t>
  </si>
  <si>
    <t>11.3</t>
  </si>
  <si>
    <t>11.4</t>
  </si>
  <si>
    <t>11.5</t>
  </si>
  <si>
    <t xml:space="preserve"> Thu bán, thuê, khấu hao, thanh lý tài sản NN</t>
  </si>
  <si>
    <t>11.6</t>
  </si>
  <si>
    <t>Thu khác còn lại (không kể thu khác tại xã)</t>
  </si>
  <si>
    <t>II</t>
  </si>
  <si>
    <t>Thu Hải quan</t>
  </si>
  <si>
    <t>Thuế XK, NK, thuế TTĐB hàng hóa nhập khẩu</t>
  </si>
  <si>
    <t>Thuế giá trị gia tăng hàng nhập khẩu</t>
  </si>
  <si>
    <t>Thuế BVMT do Hải quan thực hiện</t>
  </si>
  <si>
    <t>III</t>
  </si>
  <si>
    <t>Thu vay đầu tư cơ sở hạ tầng</t>
  </si>
  <si>
    <t>IV</t>
  </si>
  <si>
    <t>Thu kết dư ngân sách năm trước</t>
  </si>
  <si>
    <t>Học phí</t>
  </si>
  <si>
    <t>Viện phí</t>
  </si>
  <si>
    <t>Tịch thu chống buôn lậu, xử phạt, tịch thu, cấp lại</t>
  </si>
  <si>
    <t>Đền bù thiệt hại khi NN thu hồi đất</t>
  </si>
  <si>
    <t>Các khoản huy động đóng góp xây dựng cơ sở hạ tầng</t>
  </si>
  <si>
    <t>Các khoản huy động khác</t>
  </si>
  <si>
    <t>Thu viện trợ không hoàn lại</t>
  </si>
  <si>
    <t>Thu xổ số kiến thiết</t>
  </si>
  <si>
    <t>Thu hồi dự án khoa học</t>
  </si>
  <si>
    <t>C</t>
  </si>
  <si>
    <t>CHUYỂN NGUỒN</t>
  </si>
  <si>
    <t>D</t>
  </si>
  <si>
    <r>
      <t xml:space="preserve"> THU BỔ SUNG TỪ NGÂN SÁCH CẤP TRÊN</t>
    </r>
    <r>
      <rPr>
        <sz val="10"/>
        <rFont val="Times New Roman"/>
        <family val="1"/>
      </rPr>
      <t xml:space="preserve"> </t>
    </r>
  </si>
  <si>
    <t>Bổ sung cân đối</t>
  </si>
  <si>
    <t xml:space="preserve">Bổ sung có mục tiêu </t>
  </si>
  <si>
    <t>Bổ sung có mục tiêu bằng nguồn vốn trong nước</t>
  </si>
  <si>
    <t>Bổ sung có mục tiêu bằng nguồn vốn ngoài nước</t>
  </si>
  <si>
    <t>E</t>
  </si>
  <si>
    <t xml:space="preserve"> THU TỪ NGÂN SÁCH CẤP DƯỚI NỘP LÊN</t>
  </si>
  <si>
    <t>Các khoản thu 100%</t>
  </si>
  <si>
    <t>Các khoản thu phân chia theo tỷ lệ</t>
  </si>
  <si>
    <t>BÁO CÁO QUYẾT TOÁN CHI NGÂN SÁCH ĐỊA PHƯƠNG NĂM 2013</t>
  </si>
  <si>
    <t>Đơn vị tính: Triệu đồng</t>
  </si>
  <si>
    <t>TT</t>
  </si>
  <si>
    <t>Các chỉ tiêu</t>
  </si>
  <si>
    <t>Dự toán Bộ Tài chính giao 2013</t>
  </si>
  <si>
    <t>Dự toán HĐND 2013</t>
  </si>
  <si>
    <t xml:space="preserve"> Thực hiện 2013                 </t>
  </si>
  <si>
    <t>So sánh</t>
  </si>
  <si>
    <t>TW</t>
  </si>
  <si>
    <t xml:space="preserve">   Tổng số </t>
  </si>
  <si>
    <t xml:space="preserve">NS Tỉnh </t>
  </si>
  <si>
    <t>NS huyện</t>
  </si>
  <si>
    <t>NS xã</t>
  </si>
  <si>
    <t>Tổng số</t>
  </si>
  <si>
    <t xml:space="preserve">NS Huyện </t>
  </si>
  <si>
    <t>NS Xã</t>
  </si>
  <si>
    <t>Dự toán BTC</t>
  </si>
  <si>
    <t>DT HĐND</t>
  </si>
  <si>
    <t>giao</t>
  </si>
  <si>
    <t xml:space="preserve">TW </t>
  </si>
  <si>
    <t>TØnh</t>
  </si>
  <si>
    <t>4= 5+6+7</t>
  </si>
  <si>
    <t>8=9+10+11</t>
  </si>
  <si>
    <t>12=8/3</t>
  </si>
  <si>
    <t>13=8/4</t>
  </si>
  <si>
    <t>Tổng chi NSĐP (I+II)</t>
  </si>
  <si>
    <t>Chi cân đối ngân sách</t>
  </si>
  <si>
    <t>Chi đầu tư phát triển</t>
  </si>
  <si>
    <t>Chi đầu tư XDCB tỉnh quản lý</t>
  </si>
  <si>
    <t xml:space="preserve"> - Vốn trong nước</t>
  </si>
  <si>
    <t xml:space="preserve"> - Vốn HTĐT các MT từ NSTW, vốn NN, khác</t>
  </si>
  <si>
    <t>Đầu tư hỗ trợ DN</t>
  </si>
  <si>
    <t>Đầu tư từ nguồn để lại theo quy định</t>
  </si>
  <si>
    <t>Chi trả nợ vay Bộ Tài chính</t>
  </si>
  <si>
    <t>Chi thường xuyên</t>
  </si>
  <si>
    <t>Chi sự nghiệp kinh tế</t>
  </si>
  <si>
    <t>Sự nghiệp môi trường</t>
  </si>
  <si>
    <t>Chi sự nghiệp giáo dục-đào tạo</t>
  </si>
  <si>
    <t>2.4</t>
  </si>
  <si>
    <t>Chi sự nghiệp y tế, dân số</t>
  </si>
  <si>
    <t>Chi sự nghiệp VH, TT và DL</t>
  </si>
  <si>
    <t>Chi sự nghiệp phát thanh truyền hình</t>
  </si>
  <si>
    <t>Sự nghiệp công nghệ, thông tin, TT</t>
  </si>
  <si>
    <t>Sự nghiệp KHCN</t>
  </si>
  <si>
    <t>2.9</t>
  </si>
  <si>
    <t>Sự nghiệp ĐBXH</t>
  </si>
  <si>
    <t>2.10</t>
  </si>
  <si>
    <t>Quốc phòng, BP, biên giới</t>
  </si>
  <si>
    <t>2.11</t>
  </si>
  <si>
    <t>An ninh</t>
  </si>
  <si>
    <t>2.12</t>
  </si>
  <si>
    <t>Chi QLHC, Đảng, Đoàn thể, nhiệm vụ khác</t>
  </si>
  <si>
    <t>2.13</t>
  </si>
  <si>
    <t>Chi khác ngân sách</t>
  </si>
  <si>
    <t>Chi bổ sung quỹ dự trữ tài chính</t>
  </si>
  <si>
    <t>Chi CTMTQG, CT 135, 5 Triệu ha rừng</t>
  </si>
  <si>
    <t>Nguồn cải cách tiền lương, Nghị định 116/CP</t>
  </si>
  <si>
    <t>Chuyển nguồn</t>
  </si>
  <si>
    <t>Dự phòng ngân sách</t>
  </si>
  <si>
    <t>Chưa phân bổ (tương ứng 10% tăng thu)</t>
  </si>
  <si>
    <t>Chi từ nguồn thu để lại quản lý qua NS</t>
  </si>
  <si>
    <t>Các khoản nộp NS cấp trên</t>
  </si>
  <si>
    <t>Chi bổ sung cho ngân sách cấp dưới</t>
  </si>
  <si>
    <t xml:space="preserve"> - Bổ sung cân đối</t>
  </si>
  <si>
    <t xml:space="preserve"> - Bổ sung có mục tiêu</t>
  </si>
  <si>
    <t>Tổng cộng ( I+II+III+IV)</t>
  </si>
  <si>
    <t>Phụ lục 01</t>
  </si>
  <si>
    <t>Phụ lục 02</t>
  </si>
  <si>
    <t>Phụ lục 03</t>
  </si>
  <si>
    <t>Thu bán, thuê, khấu hao, thanh lý nhà ở thuộc SHNN</t>
  </si>
  <si>
    <t>CÁC KHOẢN  THU ĐỂ LẠI CHI QUẢN LÝ QUA NSNN</t>
  </si>
  <si>
    <t>HỘI ĐỒNG NHÂN DÂN TỈNH HÀ TĨNH</t>
  </si>
  <si>
    <t>CỘNG HÒA XÃ HỘI CHỦ NGHĨA VIỆT NAM</t>
  </si>
  <si>
    <t>Độc lập-Tự do-Hạnh phúc</t>
  </si>
  <si>
    <t>KHÓA XVI, KỲ HỌP THỨ 11</t>
  </si>
  <si>
    <t>(Ban hành kèm theo Nghị quyết số 111/NQ-HĐND ngày 20/12/2014 của Hội đồng nhân dân tỉnh)</t>
  </si>
  <si>
    <t>Chi NS xã</t>
  </si>
  <si>
    <t>Chi NS huyện</t>
  </si>
  <si>
    <t>Chi NS tỉnh</t>
  </si>
  <si>
    <t>(Ban hành kèm theo Nghị quyết số  111/NQ-HĐND ngày 20/12/2014 của Hội đồng nhân dân tỉnh)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</si>
</sst>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\ &quot;.&quot;;\-#,##0\ &quot;.&quot;"/>
    <numFmt numFmtId="195" formatCode="#,##0\ &quot;.&quot;;[Red]\-#,##0\ &quot;.&quot;"/>
    <numFmt numFmtId="196" formatCode="#,##0.00\ &quot;.&quot;;\-#,##0.00\ &quot;.&quot;"/>
    <numFmt numFmtId="197" formatCode="#,##0.00\ &quot;.&quot;;[Red]\-#,##0.00\ &quot;.&quot;"/>
    <numFmt numFmtId="198" formatCode="_-* #,##0\ &quot;.&quot;_-;\-* #,##0\ &quot;.&quot;_-;_-* &quot;-&quot;\ &quot;.&quot;_-;_-@_-"/>
    <numFmt numFmtId="199" formatCode="_-* #,##0\ _._-;\-* #,##0\ _._-;_-* &quot;-&quot;\ _._-;_-@_-"/>
    <numFmt numFmtId="200" formatCode="_-* #,##0.00\ &quot;.&quot;_-;\-* #,##0.00\ &quot;.&quot;_-;_-* &quot;-&quot;??\ &quot;.&quot;_-;_-@_-"/>
    <numFmt numFmtId="201" formatCode="_-* #,##0.00\ _._-;\-* #,##0.00\ _._-;_-* &quot;-&quot;??\ _._-;_-@_-"/>
    <numFmt numFmtId="202" formatCode="###,0&quot;.&quot;00\ &quot;.&quot;;\-###,0&quot;.&quot;00\ &quot;.&quot;"/>
    <numFmt numFmtId="203" formatCode="###,0&quot;.&quot;00\ &quot;.&quot;;[Red]\-###,0&quot;.&quot;00\ &quot;.&quot;"/>
    <numFmt numFmtId="204" formatCode="_-* ###,0&quot;.&quot;00\ &quot;.&quot;_-;\-* ###,0&quot;.&quot;00\ &quot;.&quot;_-;_-* &quot;-&quot;??\ &quot;.&quot;_-;_-@_-"/>
    <numFmt numFmtId="205" formatCode="_-* ###,0&quot;.&quot;00\ _._-;\-* ###,0&quot;.&quot;00\ _._-;_-* &quot;-&quot;??\ _._-;_-@_-"/>
    <numFmt numFmtId="206" formatCode="#,##0\ &quot;Δρχ&quot;;\-#,##0\ &quot;Δρχ&quot;"/>
    <numFmt numFmtId="207" formatCode="#,##0\ &quot;Δρχ&quot;;[Red]\-#,##0\ &quot;Δρχ&quot;"/>
    <numFmt numFmtId="208" formatCode="###,0&quot;.&quot;00\ &quot;Δρχ&quot;;\-###,0&quot;.&quot;00\ &quot;Δρχ&quot;"/>
    <numFmt numFmtId="209" formatCode="###,0&quot;.&quot;00\ &quot;Δρχ&quot;;[Red]\-###,0&quot;.&quot;00\ &quot;Δρχ&quot;"/>
    <numFmt numFmtId="210" formatCode="_-* #,##0\ &quot;Δρχ&quot;_-;\-* #,##0\ &quot;Δρχ&quot;_-;_-* &quot;-&quot;\ &quot;Δρχ&quot;_-;_-@_-"/>
    <numFmt numFmtId="211" formatCode="_-* #,##0\ _Δ_ρ_χ_-;\-* #,##0\ _Δ_ρ_χ_-;_-* &quot;-&quot;\ _Δ_ρ_χ_-;_-@_-"/>
    <numFmt numFmtId="212" formatCode="_-* ###,0&quot;.&quot;00\ &quot;Δρχ&quot;_-;\-* ###,0&quot;.&quot;00\ &quot;Δρχ&quot;_-;_-* &quot;-&quot;??\ &quot;Δρχ&quot;_-;_-@_-"/>
    <numFmt numFmtId="213" formatCode="_-* ###,0&quot;.&quot;00\ _Δ_ρ_χ_-;\-* ###,0&quot;.&quot;00\ _Δ_ρ_χ_-;_-* &quot;-&quot;??\ _Δ_ρ_χ_-;_-@_-"/>
    <numFmt numFmtId="214" formatCode="&quot;F&quot;###,0&quot;.&quot;00_);\(&quot;F&quot;###,0&quot;.&quot;00\)"/>
    <numFmt numFmtId="215" formatCode="&quot;F&quot;###,0&quot;.&quot;00_);[Red]\(&quot;F&quot;###,0&quot;.&quot;00\)"/>
    <numFmt numFmtId="216" formatCode="_(&quot;F&quot;* ###,0&quot;.&quot;00_);_(&quot;F&quot;* \(###,0&quot;.&quot;00\);_(&quot;F&quot;* &quot;-&quot;??_);_(@_)"/>
    <numFmt numFmtId="217" formatCode="_(* ###,0&quot;.&quot;00_);_(* \(###,0&quot;.&quot;00\);_(* &quot;-&quot;??_);_(@_)"/>
    <numFmt numFmtId="218" formatCode="#&quot;.&quot;##0"/>
    <numFmt numFmtId="219" formatCode="#&quot;.&quot;##0&quot;.&quot;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73">
    <font>
      <sz val="14"/>
      <name val=".VnTime"/>
      <family val="0"/>
    </font>
    <font>
      <b/>
      <sz val="14"/>
      <name val=".VnTime"/>
      <family val="0"/>
    </font>
    <font>
      <i/>
      <sz val="14"/>
      <name val=".VnTime"/>
      <family val="0"/>
    </font>
    <font>
      <b/>
      <i/>
      <sz val="14"/>
      <name val=".VnTime"/>
      <family val="0"/>
    </font>
    <font>
      <u val="single"/>
      <sz val="10.5"/>
      <color indexed="12"/>
      <name val=".VnTime"/>
      <family val="0"/>
    </font>
    <font>
      <u val="single"/>
      <sz val="10.5"/>
      <color indexed="36"/>
      <name val=".VnTime"/>
      <family val="0"/>
    </font>
    <font>
      <sz val="8"/>
      <name val=".VnTime"/>
      <family val="0"/>
    </font>
    <font>
      <sz val="14"/>
      <color indexed="8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.VnTime"/>
      <family val="0"/>
    </font>
    <font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20"/>
      <name val="Times New Roman"/>
      <family val="1"/>
    </font>
    <font>
      <i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.VnTimeH"/>
      <family val="2"/>
    </font>
    <font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21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3" fontId="8" fillId="33" borderId="0" xfId="0" applyNumberFormat="1" applyFont="1" applyFill="1" applyAlignment="1">
      <alignment/>
    </xf>
    <xf numFmtId="0" fontId="13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1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3" fontId="21" fillId="0" borderId="0" xfId="0" applyNumberFormat="1" applyFont="1" applyAlignment="1">
      <alignment horizontal="right" wrapText="1"/>
    </xf>
    <xf numFmtId="0" fontId="21" fillId="0" borderId="0" xfId="0" applyFont="1" applyAlignment="1">
      <alignment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3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wrapText="1"/>
    </xf>
    <xf numFmtId="3" fontId="20" fillId="0" borderId="11" xfId="0" applyNumberFormat="1" applyFont="1" applyFill="1" applyBorder="1" applyAlignment="1">
      <alignment horizontal="center" wrapText="1"/>
    </xf>
    <xf numFmtId="3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wrapText="1"/>
    </xf>
    <xf numFmtId="0" fontId="15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3" fontId="20" fillId="0" borderId="12" xfId="0" applyNumberFormat="1" applyFont="1" applyFill="1" applyBorder="1" applyAlignment="1">
      <alignment horizontal="right" wrapText="1"/>
    </xf>
    <xf numFmtId="9" fontId="20" fillId="0" borderId="12" xfId="59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3" fontId="20" fillId="0" borderId="13" xfId="0" applyNumberFormat="1" applyFont="1" applyFill="1" applyBorder="1" applyAlignment="1">
      <alignment horizontal="right" wrapText="1"/>
    </xf>
    <xf numFmtId="9" fontId="20" fillId="0" borderId="13" xfId="59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wrapText="1"/>
    </xf>
    <xf numFmtId="3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wrapText="1"/>
    </xf>
    <xf numFmtId="0" fontId="22" fillId="0" borderId="13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wrapText="1"/>
    </xf>
    <xf numFmtId="3" fontId="22" fillId="0" borderId="13" xfId="0" applyNumberFormat="1" applyFont="1" applyFill="1" applyBorder="1" applyAlignment="1">
      <alignment horizontal="right" wrapText="1"/>
    </xf>
    <xf numFmtId="9" fontId="22" fillId="0" borderId="13" xfId="59" applyFont="1" applyFill="1" applyBorder="1" applyAlignment="1">
      <alignment horizontal="right" wrapText="1"/>
    </xf>
    <xf numFmtId="3" fontId="22" fillId="0" borderId="13" xfId="0" applyNumberFormat="1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3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wrapText="1"/>
    </xf>
    <xf numFmtId="0" fontId="20" fillId="0" borderId="13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left" wrapText="1"/>
    </xf>
    <xf numFmtId="3" fontId="27" fillId="0" borderId="13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left" wrapText="1"/>
    </xf>
    <xf numFmtId="3" fontId="10" fillId="0" borderId="13" xfId="0" applyNumberFormat="1" applyFont="1" applyFill="1" applyBorder="1" applyAlignment="1">
      <alignment horizontal="right" wrapText="1"/>
    </xf>
    <xf numFmtId="9" fontId="10" fillId="0" borderId="13" xfId="59" applyFont="1" applyFill="1" applyBorder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wrapText="1"/>
    </xf>
    <xf numFmtId="0" fontId="27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wrapText="1"/>
    </xf>
    <xf numFmtId="3" fontId="20" fillId="0" borderId="14" xfId="0" applyNumberFormat="1" applyFont="1" applyFill="1" applyBorder="1" applyAlignment="1">
      <alignment horizontal="right" wrapText="1"/>
    </xf>
    <xf numFmtId="9" fontId="20" fillId="0" borderId="14" xfId="59" applyFont="1" applyFill="1" applyBorder="1" applyAlignment="1">
      <alignment horizontal="right" wrapText="1"/>
    </xf>
    <xf numFmtId="3" fontId="21" fillId="34" borderId="0" xfId="0" applyNumberFormat="1" applyFont="1" applyFill="1" applyAlignment="1">
      <alignment horizontal="right" wrapText="1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30" fillId="0" borderId="15" xfId="0" applyNumberFormat="1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22" fillId="0" borderId="0" xfId="0" applyFont="1" applyFill="1" applyAlignment="1">
      <alignment/>
    </xf>
    <xf numFmtId="0" fontId="31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3" fontId="2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horizontal="right"/>
    </xf>
    <xf numFmtId="9" fontId="20" fillId="0" borderId="11" xfId="59" applyFont="1" applyFill="1" applyBorder="1" applyAlignment="1">
      <alignment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2" fillId="0" borderId="11" xfId="0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9" fontId="22" fillId="0" borderId="11" xfId="59" applyFont="1" applyFill="1" applyBorder="1" applyAlignment="1">
      <alignment/>
    </xf>
    <xf numFmtId="0" fontId="27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9" fontId="27" fillId="0" borderId="11" xfId="59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1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35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33" fillId="33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 vertical="center" wrapText="1"/>
    </xf>
    <xf numFmtId="0" fontId="33" fillId="33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3" fontId="33" fillId="33" borderId="0" xfId="0" applyNumberFormat="1" applyFont="1" applyFill="1" applyBorder="1" applyAlignment="1">
      <alignment horizontal="center"/>
    </xf>
    <xf numFmtId="3" fontId="19" fillId="0" borderId="17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36" fillId="33" borderId="0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37" fillId="33" borderId="0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11" sqref="F11"/>
    </sheetView>
  </sheetViews>
  <sheetFormatPr defaultColWidth="8.83203125" defaultRowHeight="18"/>
  <cols>
    <col min="1" max="1" width="22.5" style="1" customWidth="1"/>
    <col min="2" max="2" width="7.75" style="1" customWidth="1"/>
    <col min="3" max="3" width="7.16015625" style="1" customWidth="1"/>
    <col min="4" max="5" width="7.25" style="1" customWidth="1"/>
    <col min="6" max="6" width="21.08203125" style="1" customWidth="1"/>
    <col min="7" max="7" width="7.41015625" style="1" customWidth="1"/>
    <col min="8" max="8" width="7.16015625" style="1" customWidth="1"/>
    <col min="9" max="9" width="7.25" style="1" customWidth="1"/>
    <col min="10" max="10" width="7.33203125" style="1" customWidth="1"/>
    <col min="11" max="16384" width="8.83203125" style="1" customWidth="1"/>
  </cols>
  <sheetData>
    <row r="1" spans="1:10" ht="18.75">
      <c r="A1" s="108" t="s">
        <v>239</v>
      </c>
      <c r="B1" s="108"/>
      <c r="C1" s="108"/>
      <c r="D1" s="108"/>
      <c r="F1" s="108" t="s">
        <v>240</v>
      </c>
      <c r="G1" s="108"/>
      <c r="H1" s="108"/>
      <c r="I1" s="108"/>
      <c r="J1" s="108"/>
    </row>
    <row r="2" spans="1:10" ht="18.75">
      <c r="A2" s="112" t="s">
        <v>242</v>
      </c>
      <c r="B2" s="112"/>
      <c r="C2" s="112"/>
      <c r="D2" s="112"/>
      <c r="F2" s="113" t="s">
        <v>241</v>
      </c>
      <c r="G2" s="113"/>
      <c r="H2" s="113"/>
      <c r="I2" s="113"/>
      <c r="J2" s="113"/>
    </row>
    <row r="3" spans="1:10" ht="18.75">
      <c r="A3" s="108" t="s">
        <v>234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26.25" customHeight="1">
      <c r="A4" s="109" t="s">
        <v>32</v>
      </c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8" customHeight="1">
      <c r="A5" s="107" t="s">
        <v>243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ht="18.75">
      <c r="A6" s="10"/>
      <c r="B6" s="110"/>
      <c r="C6" s="110"/>
      <c r="D6" s="110"/>
      <c r="E6" s="110"/>
      <c r="F6" s="110"/>
      <c r="G6" s="111" t="s">
        <v>0</v>
      </c>
      <c r="H6" s="111"/>
      <c r="I6" s="111"/>
      <c r="J6" s="111"/>
    </row>
    <row r="7" spans="1:10" ht="18">
      <c r="A7" s="106" t="s">
        <v>1</v>
      </c>
      <c r="B7" s="105" t="s">
        <v>2</v>
      </c>
      <c r="C7" s="105" t="s">
        <v>3</v>
      </c>
      <c r="D7" s="105" t="s">
        <v>4</v>
      </c>
      <c r="E7" s="105" t="s">
        <v>5</v>
      </c>
      <c r="F7" s="106" t="s">
        <v>6</v>
      </c>
      <c r="G7" s="105" t="s">
        <v>7</v>
      </c>
      <c r="H7" s="105" t="s">
        <v>246</v>
      </c>
      <c r="I7" s="105" t="s">
        <v>245</v>
      </c>
      <c r="J7" s="105" t="s">
        <v>244</v>
      </c>
    </row>
    <row r="8" spans="1:10" ht="18">
      <c r="A8" s="106"/>
      <c r="B8" s="105"/>
      <c r="C8" s="105"/>
      <c r="D8" s="105"/>
      <c r="E8" s="105"/>
      <c r="F8" s="106"/>
      <c r="G8" s="105"/>
      <c r="H8" s="105"/>
      <c r="I8" s="105"/>
      <c r="J8" s="105"/>
    </row>
    <row r="9" spans="1:10" ht="20.25" customHeight="1">
      <c r="A9" s="11" t="s">
        <v>8</v>
      </c>
      <c r="B9" s="11">
        <v>1</v>
      </c>
      <c r="C9" s="11">
        <v>2</v>
      </c>
      <c r="D9" s="11">
        <v>3</v>
      </c>
      <c r="E9" s="11">
        <v>4</v>
      </c>
      <c r="F9" s="11" t="s">
        <v>9</v>
      </c>
      <c r="G9" s="11">
        <v>1</v>
      </c>
      <c r="H9" s="11">
        <v>2</v>
      </c>
      <c r="I9" s="11">
        <v>3</v>
      </c>
      <c r="J9" s="11">
        <v>4</v>
      </c>
    </row>
    <row r="10" spans="1:10" ht="24.75" customHeight="1">
      <c r="A10" s="12" t="s">
        <v>10</v>
      </c>
      <c r="B10" s="9">
        <f aca="true" t="shared" si="0" ref="B10:B20">C10+D10+E10</f>
        <v>22511920</v>
      </c>
      <c r="C10" s="9">
        <f>C11+C24</f>
        <v>14373789</v>
      </c>
      <c r="D10" s="9">
        <f>D11+D24</f>
        <v>5401098</v>
      </c>
      <c r="E10" s="9">
        <f>E11+E24</f>
        <v>2737033</v>
      </c>
      <c r="F10" s="12" t="s">
        <v>11</v>
      </c>
      <c r="G10" s="9">
        <f>G11+G24</f>
        <v>22315960</v>
      </c>
      <c r="H10" s="9">
        <f>H11+H24</f>
        <v>14247431</v>
      </c>
      <c r="I10" s="9">
        <f>I11+I24</f>
        <v>5373950</v>
      </c>
      <c r="J10" s="9">
        <f>J11+J24</f>
        <v>2694579</v>
      </c>
    </row>
    <row r="11" spans="1:10" ht="24.75" customHeight="1">
      <c r="A11" s="12" t="s">
        <v>12</v>
      </c>
      <c r="B11" s="9">
        <f>C11+D11+E11</f>
        <v>21888552</v>
      </c>
      <c r="C11" s="9">
        <f>C12+C13+C14+C15+C16+C17+C20</f>
        <v>13958831</v>
      </c>
      <c r="D11" s="9">
        <f>D12+D13+D14+D15+D16+D17+D20</f>
        <v>5349402</v>
      </c>
      <c r="E11" s="9">
        <f>E12+E13+E14+E15+E16+E17+E20</f>
        <v>2580319</v>
      </c>
      <c r="F11" s="12" t="s">
        <v>13</v>
      </c>
      <c r="G11" s="9">
        <f aca="true" t="shared" si="1" ref="G11:G21">H11+I11+J11</f>
        <v>21692592</v>
      </c>
      <c r="H11" s="9">
        <f>H12+H15+H16+H17+H20+H21+H22</f>
        <v>13832473</v>
      </c>
      <c r="I11" s="9">
        <f>I12+I15+I16+I17+I20+I21+I22</f>
        <v>5322254</v>
      </c>
      <c r="J11" s="9">
        <f>J12+J15+J16+J17+J20+J21+J22</f>
        <v>2537865</v>
      </c>
    </row>
    <row r="12" spans="1:10" ht="24.75" customHeight="1">
      <c r="A12" s="13" t="s">
        <v>36</v>
      </c>
      <c r="B12" s="14">
        <f t="shared" si="0"/>
        <v>476474</v>
      </c>
      <c r="C12" s="14">
        <v>426578</v>
      </c>
      <c r="D12" s="14">
        <v>24949</v>
      </c>
      <c r="E12" s="14">
        <v>24947</v>
      </c>
      <c r="F12" s="13" t="s">
        <v>14</v>
      </c>
      <c r="G12" s="14">
        <f t="shared" si="1"/>
        <v>3430308</v>
      </c>
      <c r="H12" s="14">
        <v>2389190</v>
      </c>
      <c r="I12" s="14">
        <v>252370</v>
      </c>
      <c r="J12" s="14">
        <v>788748</v>
      </c>
    </row>
    <row r="13" spans="1:10" ht="24.75" customHeight="1">
      <c r="A13" s="13" t="s">
        <v>15</v>
      </c>
      <c r="B13" s="14">
        <f t="shared" si="0"/>
        <v>3677981</v>
      </c>
      <c r="C13" s="14">
        <v>2707109</v>
      </c>
      <c r="D13" s="14">
        <v>554196</v>
      </c>
      <c r="E13" s="14">
        <v>416676</v>
      </c>
      <c r="F13" s="13" t="s">
        <v>16</v>
      </c>
      <c r="G13" s="14">
        <f t="shared" si="1"/>
        <v>2607232</v>
      </c>
      <c r="H13" s="14">
        <v>1976638</v>
      </c>
      <c r="I13" s="14">
        <v>70824</v>
      </c>
      <c r="J13" s="14">
        <v>559770</v>
      </c>
    </row>
    <row r="14" spans="1:10" ht="24.75" customHeight="1">
      <c r="A14" s="13" t="s">
        <v>17</v>
      </c>
      <c r="B14" s="14">
        <f t="shared" si="0"/>
        <v>211746</v>
      </c>
      <c r="C14" s="14">
        <v>211746</v>
      </c>
      <c r="D14" s="14"/>
      <c r="E14" s="14"/>
      <c r="F14" s="15" t="s">
        <v>30</v>
      </c>
      <c r="G14" s="14">
        <f t="shared" si="1"/>
        <v>259906</v>
      </c>
      <c r="H14" s="14">
        <v>259906</v>
      </c>
      <c r="I14" s="14"/>
      <c r="J14" s="14"/>
    </row>
    <row r="15" spans="1:10" ht="24.75" customHeight="1">
      <c r="A15" s="13" t="s">
        <v>33</v>
      </c>
      <c r="B15" s="14">
        <f t="shared" si="0"/>
        <v>81149</v>
      </c>
      <c r="C15" s="14">
        <v>33093</v>
      </c>
      <c r="D15" s="14">
        <v>21956</v>
      </c>
      <c r="E15" s="14">
        <v>26100</v>
      </c>
      <c r="F15" s="13" t="s">
        <v>18</v>
      </c>
      <c r="G15" s="14">
        <f>H15+I15+J15</f>
        <v>7145607</v>
      </c>
      <c r="H15" s="14">
        <v>2819641</v>
      </c>
      <c r="I15" s="14">
        <v>2742552</v>
      </c>
      <c r="J15" s="14">
        <v>1583414</v>
      </c>
    </row>
    <row r="16" spans="1:10" ht="24.75" customHeight="1">
      <c r="A16" s="13" t="s">
        <v>31</v>
      </c>
      <c r="B16" s="14">
        <f t="shared" si="0"/>
        <v>4232747</v>
      </c>
      <c r="C16" s="14">
        <v>3749542</v>
      </c>
      <c r="D16" s="14">
        <v>348363</v>
      </c>
      <c r="E16" s="14">
        <v>134842</v>
      </c>
      <c r="F16" s="13" t="s">
        <v>19</v>
      </c>
      <c r="G16" s="14">
        <f t="shared" si="1"/>
        <v>1340</v>
      </c>
      <c r="H16" s="14">
        <v>1340</v>
      </c>
      <c r="I16" s="14"/>
      <c r="J16" s="14"/>
    </row>
    <row r="17" spans="1:10" ht="24.75" customHeight="1">
      <c r="A17" s="13" t="s">
        <v>34</v>
      </c>
      <c r="B17" s="14">
        <f t="shared" si="0"/>
        <v>13207284</v>
      </c>
      <c r="C17" s="14">
        <f>C18+C19</f>
        <v>6830763</v>
      </c>
      <c r="D17" s="14">
        <f>D18+D19</f>
        <v>4398767</v>
      </c>
      <c r="E17" s="14">
        <f>E18+E19</f>
        <v>1977754</v>
      </c>
      <c r="F17" s="13" t="s">
        <v>20</v>
      </c>
      <c r="G17" s="14">
        <f t="shared" si="1"/>
        <v>6376521</v>
      </c>
      <c r="H17" s="14">
        <f>H18+H19</f>
        <v>4398767</v>
      </c>
      <c r="I17" s="14">
        <f>I18+I19</f>
        <v>1977754</v>
      </c>
      <c r="J17" s="14"/>
    </row>
    <row r="18" spans="1:10" ht="24.75" customHeight="1">
      <c r="A18" s="13" t="s">
        <v>22</v>
      </c>
      <c r="B18" s="14">
        <f t="shared" si="0"/>
        <v>7485286</v>
      </c>
      <c r="C18" s="14">
        <v>4114165</v>
      </c>
      <c r="D18" s="14">
        <v>2595681</v>
      </c>
      <c r="E18" s="14">
        <v>775440</v>
      </c>
      <c r="F18" s="13" t="s">
        <v>21</v>
      </c>
      <c r="G18" s="14">
        <f t="shared" si="1"/>
        <v>3371121</v>
      </c>
      <c r="H18" s="14">
        <v>2595681</v>
      </c>
      <c r="I18" s="14">
        <v>775440</v>
      </c>
      <c r="J18" s="14"/>
    </row>
    <row r="19" spans="1:10" ht="24.75" customHeight="1">
      <c r="A19" s="13" t="s">
        <v>24</v>
      </c>
      <c r="B19" s="14">
        <f t="shared" si="0"/>
        <v>5721998</v>
      </c>
      <c r="C19" s="14">
        <v>2716598</v>
      </c>
      <c r="D19" s="14">
        <v>1803086</v>
      </c>
      <c r="E19" s="14">
        <v>1202314</v>
      </c>
      <c r="F19" s="13" t="s">
        <v>23</v>
      </c>
      <c r="G19" s="14">
        <f t="shared" si="1"/>
        <v>3005400</v>
      </c>
      <c r="H19" s="14">
        <v>1803086</v>
      </c>
      <c r="I19" s="14">
        <v>1202314</v>
      </c>
      <c r="J19" s="14"/>
    </row>
    <row r="20" spans="1:10" ht="24.75" customHeight="1">
      <c r="A20" s="13" t="s">
        <v>35</v>
      </c>
      <c r="B20" s="14">
        <f t="shared" si="0"/>
        <v>1171</v>
      </c>
      <c r="C20" s="14"/>
      <c r="D20" s="14">
        <v>1171</v>
      </c>
      <c r="E20" s="14"/>
      <c r="F20" s="13" t="s">
        <v>31</v>
      </c>
      <c r="G20" s="14">
        <f t="shared" si="1"/>
        <v>4210106</v>
      </c>
      <c r="H20" s="14">
        <v>3695996</v>
      </c>
      <c r="I20" s="14">
        <v>348407</v>
      </c>
      <c r="J20" s="14">
        <v>165703</v>
      </c>
    </row>
    <row r="21" spans="1:10" ht="24.75" customHeight="1">
      <c r="A21" s="16"/>
      <c r="B21" s="14"/>
      <c r="C21" s="16"/>
      <c r="D21" s="16"/>
      <c r="E21" s="16"/>
      <c r="F21" s="13" t="s">
        <v>25</v>
      </c>
      <c r="G21" s="14">
        <f t="shared" si="1"/>
        <v>527539</v>
      </c>
      <c r="H21" s="14">
        <v>527539</v>
      </c>
      <c r="I21" s="14"/>
      <c r="J21" s="14"/>
    </row>
    <row r="22" spans="1:10" ht="24.75" customHeight="1">
      <c r="A22" s="17"/>
      <c r="B22" s="9"/>
      <c r="C22" s="9"/>
      <c r="D22" s="9"/>
      <c r="E22" s="9"/>
      <c r="F22" s="13" t="s">
        <v>26</v>
      </c>
      <c r="G22" s="14">
        <f>H22+I22+J22</f>
        <v>1171</v>
      </c>
      <c r="H22" s="14"/>
      <c r="I22" s="14">
        <v>1171</v>
      </c>
      <c r="J22" s="14"/>
    </row>
    <row r="23" spans="1:10" ht="24.75" customHeight="1">
      <c r="A23" s="18" t="s">
        <v>29</v>
      </c>
      <c r="B23" s="9">
        <f>B11-G11</f>
        <v>195960</v>
      </c>
      <c r="C23" s="9">
        <f>C11-H11</f>
        <v>126358</v>
      </c>
      <c r="D23" s="9">
        <f>D11-I11</f>
        <v>27148</v>
      </c>
      <c r="E23" s="9">
        <f>E11-J11</f>
        <v>42454</v>
      </c>
      <c r="F23" s="13"/>
      <c r="G23" s="14"/>
      <c r="H23" s="14"/>
      <c r="I23" s="14"/>
      <c r="J23" s="14"/>
    </row>
    <row r="24" spans="1:10" ht="24.75" customHeight="1">
      <c r="A24" s="19" t="s">
        <v>27</v>
      </c>
      <c r="B24" s="9">
        <f>C24+D24+E24</f>
        <v>623368</v>
      </c>
      <c r="C24" s="9">
        <v>414958</v>
      </c>
      <c r="D24" s="9">
        <v>51696</v>
      </c>
      <c r="E24" s="9">
        <v>156714</v>
      </c>
      <c r="F24" s="20" t="s">
        <v>28</v>
      </c>
      <c r="G24" s="9">
        <f>H24+I24+J24</f>
        <v>623368</v>
      </c>
      <c r="H24" s="9">
        <v>414958</v>
      </c>
      <c r="I24" s="9">
        <v>51696</v>
      </c>
      <c r="J24" s="9">
        <v>156714</v>
      </c>
    </row>
    <row r="25" spans="1:10" s="8" customFormat="1" ht="12.75">
      <c r="A25" s="6"/>
      <c r="B25" s="7"/>
      <c r="C25" s="7"/>
      <c r="D25" s="6"/>
      <c r="E25" s="6"/>
      <c r="F25" s="6"/>
      <c r="G25" s="6"/>
      <c r="H25" s="6"/>
      <c r="I25" s="6"/>
      <c r="J25" s="6"/>
    </row>
    <row r="26" spans="1:10" ht="18">
      <c r="A26" s="2"/>
      <c r="B26" s="2"/>
      <c r="C26" s="2"/>
      <c r="D26" s="2"/>
      <c r="E26" s="2"/>
      <c r="F26" s="2"/>
      <c r="G26" s="2"/>
      <c r="H26" s="3"/>
      <c r="I26" s="3"/>
      <c r="J26" s="3"/>
    </row>
    <row r="27" spans="1:10" ht="18">
      <c r="A27" s="2"/>
      <c r="B27" s="5"/>
      <c r="C27" s="2"/>
      <c r="D27" s="2"/>
      <c r="E27" s="2"/>
      <c r="F27" s="2"/>
      <c r="G27" s="2"/>
      <c r="H27" s="2"/>
      <c r="I27" s="2"/>
      <c r="J27" s="2"/>
    </row>
    <row r="28" spans="1:10" ht="18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8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3" ht="18.75">
      <c r="G33" s="4"/>
    </row>
    <row r="34" ht="18.75">
      <c r="G34" s="4"/>
    </row>
    <row r="35" ht="18.75">
      <c r="G35" s="4"/>
    </row>
    <row r="36" ht="18.75">
      <c r="G36" s="4"/>
    </row>
  </sheetData>
  <sheetProtection/>
  <mergeCells count="20">
    <mergeCell ref="A1:D1"/>
    <mergeCell ref="F1:J1"/>
    <mergeCell ref="A2:D2"/>
    <mergeCell ref="F2:J2"/>
    <mergeCell ref="A28:J29"/>
    <mergeCell ref="I7:I8"/>
    <mergeCell ref="J7:J8"/>
    <mergeCell ref="E7:E8"/>
    <mergeCell ref="F7:F8"/>
    <mergeCell ref="G7:G8"/>
    <mergeCell ref="H7:H8"/>
    <mergeCell ref="A7:A8"/>
    <mergeCell ref="B7:B8"/>
    <mergeCell ref="C7:C8"/>
    <mergeCell ref="A5:J5"/>
    <mergeCell ref="A3:J3"/>
    <mergeCell ref="D7:D8"/>
    <mergeCell ref="A4:J4"/>
    <mergeCell ref="B6:F6"/>
    <mergeCell ref="G6:J6"/>
  </mergeCells>
  <printOptions horizontalCentered="1"/>
  <pageMargins left="0" right="0" top="0.6" bottom="0.2" header="0.35" footer="0.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="85" zoomScaleNormal="85" zoomScalePageLayoutView="0" workbookViewId="0" topLeftCell="A64">
      <selection activeCell="D75" sqref="D75"/>
    </sheetView>
  </sheetViews>
  <sheetFormatPr defaultColWidth="8.83203125" defaultRowHeight="18"/>
  <cols>
    <col min="1" max="1" width="4" style="22" customWidth="1"/>
    <col min="2" max="2" width="29.16015625" style="22" customWidth="1"/>
    <col min="3" max="3" width="7.83203125" style="21" customWidth="1"/>
    <col min="4" max="4" width="7.91015625" style="21" customWidth="1"/>
    <col min="5" max="5" width="8.16015625" style="21" customWidth="1"/>
    <col min="6" max="6" width="7.08203125" style="21" customWidth="1"/>
    <col min="7" max="7" width="8" style="21" customWidth="1"/>
    <col min="8" max="8" width="8.08203125" style="21" customWidth="1"/>
    <col min="9" max="9" width="9.41015625" style="21" customWidth="1"/>
    <col min="10" max="10" width="7.41015625" style="21" customWidth="1"/>
    <col min="11" max="11" width="7.66015625" style="21" bestFit="1" customWidth="1"/>
    <col min="12" max="12" width="6.41015625" style="21" bestFit="1" customWidth="1"/>
    <col min="13" max="13" width="8.83203125" style="21" customWidth="1"/>
    <col min="14" max="16384" width="8.83203125" style="22" customWidth="1"/>
  </cols>
  <sheetData>
    <row r="1" spans="1:13" ht="18.75">
      <c r="A1" s="131" t="s">
        <v>239</v>
      </c>
      <c r="B1" s="131"/>
      <c r="C1" s="131"/>
      <c r="D1" s="131"/>
      <c r="E1" s="131" t="s">
        <v>240</v>
      </c>
      <c r="F1" s="131"/>
      <c r="G1" s="131"/>
      <c r="H1" s="131"/>
      <c r="I1" s="131"/>
      <c r="J1" s="131"/>
      <c r="K1" s="131"/>
      <c r="L1" s="131"/>
      <c r="M1" s="104"/>
    </row>
    <row r="2" spans="1:13" ht="18.75">
      <c r="A2" s="132" t="s">
        <v>242</v>
      </c>
      <c r="B2" s="132"/>
      <c r="C2" s="132"/>
      <c r="D2" s="132"/>
      <c r="E2" s="132" t="s">
        <v>241</v>
      </c>
      <c r="F2" s="132"/>
      <c r="G2" s="132"/>
      <c r="H2" s="132"/>
      <c r="I2" s="132"/>
      <c r="J2" s="132"/>
      <c r="K2" s="132"/>
      <c r="L2" s="132"/>
      <c r="M2" s="104"/>
    </row>
    <row r="3" spans="1:12" s="99" customFormat="1" ht="32.25" customHeight="1">
      <c r="A3" s="122" t="s">
        <v>235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8.5" customHeight="1">
      <c r="A4" s="121" t="s">
        <v>37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s="100" customFormat="1" ht="19.5" customHeight="1">
      <c r="A5" s="127" t="s">
        <v>247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20.25" customHeight="1">
      <c r="A6" s="23"/>
      <c r="B6" s="24"/>
      <c r="C6" s="25"/>
      <c r="D6" s="25"/>
      <c r="E6" s="25"/>
      <c r="F6" s="25"/>
      <c r="G6" s="25"/>
      <c r="H6" s="25"/>
      <c r="I6" s="25"/>
      <c r="J6" s="25"/>
      <c r="K6" s="138" t="s">
        <v>38</v>
      </c>
      <c r="L6" s="138"/>
    </row>
    <row r="7" spans="1:13" s="27" customFormat="1" ht="25.5" customHeight="1">
      <c r="A7" s="115" t="s">
        <v>39</v>
      </c>
      <c r="B7" s="115" t="s">
        <v>40</v>
      </c>
      <c r="C7" s="133" t="s">
        <v>41</v>
      </c>
      <c r="D7" s="134"/>
      <c r="E7" s="135" t="s">
        <v>42</v>
      </c>
      <c r="F7" s="128" t="s">
        <v>43</v>
      </c>
      <c r="G7" s="129"/>
      <c r="H7" s="129"/>
      <c r="I7" s="129"/>
      <c r="J7" s="130"/>
      <c r="K7" s="128" t="s">
        <v>44</v>
      </c>
      <c r="L7" s="130"/>
      <c r="M7" s="26"/>
    </row>
    <row r="8" spans="1:13" s="27" customFormat="1" ht="26.25" customHeight="1">
      <c r="A8" s="116"/>
      <c r="B8" s="116"/>
      <c r="C8" s="125" t="s">
        <v>45</v>
      </c>
      <c r="D8" s="125" t="s">
        <v>46</v>
      </c>
      <c r="E8" s="136"/>
      <c r="F8" s="139" t="s">
        <v>47</v>
      </c>
      <c r="G8" s="139" t="s">
        <v>48</v>
      </c>
      <c r="H8" s="118" t="s">
        <v>49</v>
      </c>
      <c r="I8" s="119"/>
      <c r="J8" s="120"/>
      <c r="K8" s="123" t="s">
        <v>45</v>
      </c>
      <c r="L8" s="125" t="s">
        <v>46</v>
      </c>
      <c r="M8" s="26"/>
    </row>
    <row r="9" spans="1:13" s="27" customFormat="1" ht="23.25" customHeight="1">
      <c r="A9" s="117"/>
      <c r="B9" s="117"/>
      <c r="C9" s="126"/>
      <c r="D9" s="126"/>
      <c r="E9" s="137"/>
      <c r="F9" s="140"/>
      <c r="G9" s="140"/>
      <c r="H9" s="28" t="s">
        <v>50</v>
      </c>
      <c r="I9" s="103" t="s">
        <v>51</v>
      </c>
      <c r="J9" s="28" t="s">
        <v>52</v>
      </c>
      <c r="K9" s="124" t="s">
        <v>53</v>
      </c>
      <c r="L9" s="126"/>
      <c r="M9" s="26"/>
    </row>
    <row r="10" spans="1:13" s="32" customFormat="1" ht="21.75" customHeight="1">
      <c r="A10" s="29" t="s">
        <v>8</v>
      </c>
      <c r="B10" s="29" t="s">
        <v>9</v>
      </c>
      <c r="C10" s="30">
        <v>1</v>
      </c>
      <c r="D10" s="30">
        <v>2</v>
      </c>
      <c r="E10" s="30" t="s">
        <v>54</v>
      </c>
      <c r="F10" s="30">
        <v>4</v>
      </c>
      <c r="G10" s="30" t="s">
        <v>55</v>
      </c>
      <c r="H10" s="30">
        <v>6</v>
      </c>
      <c r="I10" s="30">
        <v>7</v>
      </c>
      <c r="J10" s="30">
        <v>8</v>
      </c>
      <c r="K10" s="30" t="s">
        <v>56</v>
      </c>
      <c r="L10" s="30" t="s">
        <v>57</v>
      </c>
      <c r="M10" s="31"/>
    </row>
    <row r="11" spans="1:12" ht="21" customHeight="1">
      <c r="A11" s="33"/>
      <c r="B11" s="34" t="s">
        <v>58</v>
      </c>
      <c r="C11" s="35">
        <f aca="true" t="shared" si="0" ref="C11:J11">C12+C71+C81+C82+C87</f>
        <v>10470820</v>
      </c>
      <c r="D11" s="35">
        <f t="shared" si="0"/>
        <v>12390765</v>
      </c>
      <c r="E11" s="35">
        <f t="shared" si="0"/>
        <v>23660914.569453</v>
      </c>
      <c r="F11" s="35">
        <f t="shared" si="0"/>
        <v>1148994.64842</v>
      </c>
      <c r="G11" s="35">
        <f t="shared" si="0"/>
        <v>22511919.921033</v>
      </c>
      <c r="H11" s="35">
        <f t="shared" si="0"/>
        <v>14373788.805551</v>
      </c>
      <c r="I11" s="35">
        <f t="shared" si="0"/>
        <v>5401098.400362999</v>
      </c>
      <c r="J11" s="35">
        <f t="shared" si="0"/>
        <v>2737032.715119</v>
      </c>
      <c r="K11" s="36">
        <f>E11/C11</f>
        <v>2.259700249784926</v>
      </c>
      <c r="L11" s="36">
        <f>E11/D11</f>
        <v>1.9095604322616886</v>
      </c>
    </row>
    <row r="12" spans="1:12" ht="21" customHeight="1">
      <c r="A12" s="37" t="s">
        <v>8</v>
      </c>
      <c r="B12" s="38" t="s">
        <v>59</v>
      </c>
      <c r="C12" s="39">
        <f aca="true" t="shared" si="1" ref="C12:J12">C13+C64+C69+C70</f>
        <v>4172000</v>
      </c>
      <c r="D12" s="39">
        <f t="shared" si="1"/>
        <v>5493000</v>
      </c>
      <c r="E12" s="39">
        <f t="shared" si="1"/>
        <v>5596344.755611</v>
      </c>
      <c r="F12" s="39">
        <f t="shared" si="1"/>
        <v>1148994.64842</v>
      </c>
      <c r="G12" s="39">
        <f t="shared" si="1"/>
        <v>4447350.107190999</v>
      </c>
      <c r="H12" s="39">
        <f t="shared" si="1"/>
        <v>3378525.777599</v>
      </c>
      <c r="I12" s="39">
        <f t="shared" si="1"/>
        <v>601102.034331</v>
      </c>
      <c r="J12" s="39">
        <f t="shared" si="1"/>
        <v>467722.29526099993</v>
      </c>
      <c r="K12" s="40">
        <f aca="true" t="shared" si="2" ref="K12:K66">E12/C12</f>
        <v>1.341405741996884</v>
      </c>
      <c r="L12" s="40">
        <f>E12/D12</f>
        <v>1.0188139005299472</v>
      </c>
    </row>
    <row r="13" spans="1:13" s="44" customFormat="1" ht="21" customHeight="1">
      <c r="A13" s="41" t="s">
        <v>60</v>
      </c>
      <c r="B13" s="42" t="s">
        <v>61</v>
      </c>
      <c r="C13" s="39">
        <f>C14+C22+C30+C37+C38+C39+C40+C45+C50+C51+C57</f>
        <v>2842000</v>
      </c>
      <c r="D13" s="39">
        <f aca="true" t="shared" si="3" ref="D13:J13">D14+D22+D30+D37+D38+D39+D40+D45+D50+D51+D57</f>
        <v>4163000</v>
      </c>
      <c r="E13" s="39">
        <f t="shared" si="3"/>
        <v>4178821.8012869987</v>
      </c>
      <c r="F13" s="39">
        <f t="shared" si="3"/>
        <v>26096.525718</v>
      </c>
      <c r="G13" s="39">
        <f t="shared" si="3"/>
        <v>4152725.2755689994</v>
      </c>
      <c r="H13" s="39">
        <f t="shared" si="3"/>
        <v>3131960.094682</v>
      </c>
      <c r="I13" s="39">
        <f t="shared" si="3"/>
        <v>579142.745366</v>
      </c>
      <c r="J13" s="39">
        <f t="shared" si="3"/>
        <v>441622.43552099995</v>
      </c>
      <c r="K13" s="40">
        <f t="shared" si="2"/>
        <v>1.470380647884236</v>
      </c>
      <c r="L13" s="40">
        <f>E13/D13</f>
        <v>1.0038005768164782</v>
      </c>
      <c r="M13" s="43"/>
    </row>
    <row r="14" spans="1:13" s="44" customFormat="1" ht="21" customHeight="1">
      <c r="A14" s="41">
        <v>1</v>
      </c>
      <c r="B14" s="42" t="s">
        <v>62</v>
      </c>
      <c r="C14" s="39">
        <f>SUM(C15:C21)</f>
        <v>387000</v>
      </c>
      <c r="D14" s="39">
        <v>650000</v>
      </c>
      <c r="E14" s="39">
        <f aca="true" t="shared" si="4" ref="E14:J14">SUM(E15:E21)</f>
        <v>397498.73606799997</v>
      </c>
      <c r="F14" s="39"/>
      <c r="G14" s="39">
        <f aca="true" t="shared" si="5" ref="G14:G70">H14+I14+J14</f>
        <v>397498.7360680001</v>
      </c>
      <c r="H14" s="39">
        <f t="shared" si="4"/>
        <v>381700.3160640001</v>
      </c>
      <c r="I14" s="39">
        <f t="shared" si="4"/>
        <v>10825.304418</v>
      </c>
      <c r="J14" s="39">
        <f t="shared" si="4"/>
        <v>4973.115586</v>
      </c>
      <c r="K14" s="40">
        <f t="shared" si="2"/>
        <v>1.0271285169715763</v>
      </c>
      <c r="L14" s="40">
        <f>E14/D14</f>
        <v>0.6115365170276923</v>
      </c>
      <c r="M14" s="43"/>
    </row>
    <row r="15" spans="1:13" s="44" customFormat="1" ht="21" customHeight="1">
      <c r="A15" s="45" t="s">
        <v>63</v>
      </c>
      <c r="B15" s="46" t="s">
        <v>64</v>
      </c>
      <c r="C15" s="47">
        <v>245557</v>
      </c>
      <c r="D15" s="47"/>
      <c r="E15" s="47">
        <f>F15+G15</f>
        <v>226315.666096</v>
      </c>
      <c r="F15" s="47"/>
      <c r="G15" s="47">
        <f t="shared" si="5"/>
        <v>226315.666096</v>
      </c>
      <c r="H15" s="47">
        <v>217337.236689</v>
      </c>
      <c r="I15" s="47">
        <v>6089.346504</v>
      </c>
      <c r="J15" s="47">
        <v>2889.082903</v>
      </c>
      <c r="K15" s="48">
        <f t="shared" si="2"/>
        <v>0.9216420875641907</v>
      </c>
      <c r="L15" s="48"/>
      <c r="M15" s="43"/>
    </row>
    <row r="16" spans="1:13" s="44" customFormat="1" ht="21" customHeight="1">
      <c r="A16" s="45" t="s">
        <v>65</v>
      </c>
      <c r="B16" s="46" t="s">
        <v>66</v>
      </c>
      <c r="C16" s="47">
        <v>106608</v>
      </c>
      <c r="D16" s="47"/>
      <c r="E16" s="47">
        <f aca="true" t="shared" si="6" ref="E16:E37">F16+G16</f>
        <v>114591.66542100001</v>
      </c>
      <c r="F16" s="47"/>
      <c r="G16" s="47">
        <f t="shared" si="5"/>
        <v>114591.66542100001</v>
      </c>
      <c r="H16" s="47">
        <v>114564.378007</v>
      </c>
      <c r="I16" s="47">
        <v>13.643704</v>
      </c>
      <c r="J16" s="47">
        <v>13.64371</v>
      </c>
      <c r="K16" s="48">
        <f t="shared" si="2"/>
        <v>1.0748880517503379</v>
      </c>
      <c r="L16" s="48"/>
      <c r="M16" s="43"/>
    </row>
    <row r="17" spans="1:13" s="44" customFormat="1" ht="21" customHeight="1">
      <c r="A17" s="45" t="s">
        <v>67</v>
      </c>
      <c r="B17" s="46" t="s">
        <v>68</v>
      </c>
      <c r="C17" s="47">
        <v>26000</v>
      </c>
      <c r="D17" s="47"/>
      <c r="E17" s="47">
        <f t="shared" si="6"/>
        <v>43417.424942000005</v>
      </c>
      <c r="F17" s="47"/>
      <c r="G17" s="47">
        <f t="shared" si="5"/>
        <v>43417.424942000005</v>
      </c>
      <c r="H17" s="47">
        <v>43129.643663</v>
      </c>
      <c r="I17" s="47">
        <v>194.223437</v>
      </c>
      <c r="J17" s="47">
        <v>93.557842</v>
      </c>
      <c r="K17" s="48">
        <f t="shared" si="2"/>
        <v>1.6699009593076926</v>
      </c>
      <c r="L17" s="48"/>
      <c r="M17" s="43"/>
    </row>
    <row r="18" spans="1:13" s="44" customFormat="1" ht="21" customHeight="1">
      <c r="A18" s="45" t="s">
        <v>69</v>
      </c>
      <c r="B18" s="46" t="s">
        <v>70</v>
      </c>
      <c r="C18" s="47"/>
      <c r="D18" s="47"/>
      <c r="E18" s="47"/>
      <c r="F18" s="47"/>
      <c r="G18" s="47"/>
      <c r="H18" s="47"/>
      <c r="I18" s="47"/>
      <c r="J18" s="47"/>
      <c r="K18" s="48"/>
      <c r="L18" s="48"/>
      <c r="M18" s="43"/>
    </row>
    <row r="19" spans="1:13" s="44" customFormat="1" ht="21" customHeight="1">
      <c r="A19" s="45" t="s">
        <v>71</v>
      </c>
      <c r="B19" s="46" t="s">
        <v>72</v>
      </c>
      <c r="C19" s="47">
        <v>8000</v>
      </c>
      <c r="D19" s="47"/>
      <c r="E19" s="47">
        <f t="shared" si="6"/>
        <v>8101.493461</v>
      </c>
      <c r="F19" s="47"/>
      <c r="G19" s="47">
        <f t="shared" si="5"/>
        <v>8101.493461</v>
      </c>
      <c r="H19" s="47">
        <v>3185.665808</v>
      </c>
      <c r="I19" s="47">
        <v>2949.496522</v>
      </c>
      <c r="J19" s="47">
        <v>1966.331131</v>
      </c>
      <c r="K19" s="48">
        <f t="shared" si="2"/>
        <v>1.012686682625</v>
      </c>
      <c r="L19" s="48"/>
      <c r="M19" s="43"/>
    </row>
    <row r="20" spans="1:13" s="44" customFormat="1" ht="21" customHeight="1">
      <c r="A20" s="45" t="s">
        <v>73</v>
      </c>
      <c r="B20" s="46" t="s">
        <v>74</v>
      </c>
      <c r="C20" s="47">
        <v>490</v>
      </c>
      <c r="D20" s="47"/>
      <c r="E20" s="47">
        <f t="shared" si="6"/>
        <v>477.192</v>
      </c>
      <c r="F20" s="47"/>
      <c r="G20" s="47">
        <f t="shared" si="5"/>
        <v>477.192</v>
      </c>
      <c r="H20" s="47"/>
      <c r="I20" s="47">
        <v>466.692</v>
      </c>
      <c r="J20" s="47">
        <v>10.5</v>
      </c>
      <c r="K20" s="48">
        <f t="shared" si="2"/>
        <v>0.973861224489796</v>
      </c>
      <c r="L20" s="48"/>
      <c r="M20" s="43"/>
    </row>
    <row r="21" spans="1:13" s="44" customFormat="1" ht="21" customHeight="1">
      <c r="A21" s="45" t="s">
        <v>75</v>
      </c>
      <c r="B21" s="46" t="s">
        <v>76</v>
      </c>
      <c r="C21" s="47">
        <v>345</v>
      </c>
      <c r="D21" s="47"/>
      <c r="E21" s="47">
        <f t="shared" si="6"/>
        <v>4595.294148</v>
      </c>
      <c r="F21" s="47"/>
      <c r="G21" s="47">
        <f t="shared" si="5"/>
        <v>4595.294148</v>
      </c>
      <c r="H21" s="47">
        <v>3483.391897</v>
      </c>
      <c r="I21" s="47">
        <v>1111.902251</v>
      </c>
      <c r="J21" s="47"/>
      <c r="K21" s="48">
        <f t="shared" si="2"/>
        <v>13.319693182608695</v>
      </c>
      <c r="L21" s="48"/>
      <c r="M21" s="43"/>
    </row>
    <row r="22" spans="1:13" s="44" customFormat="1" ht="21" customHeight="1">
      <c r="A22" s="41">
        <v>2</v>
      </c>
      <c r="B22" s="42" t="s">
        <v>77</v>
      </c>
      <c r="C22" s="39">
        <f>SUM(C23:C29)</f>
        <v>660000</v>
      </c>
      <c r="D22" s="39">
        <v>1280500</v>
      </c>
      <c r="E22" s="39">
        <f aca="true" t="shared" si="7" ref="E22:J22">SUM(E23:E29)</f>
        <v>1662116.0198099997</v>
      </c>
      <c r="F22" s="39"/>
      <c r="G22" s="39">
        <f t="shared" si="5"/>
        <v>1662116.01981</v>
      </c>
      <c r="H22" s="39">
        <f t="shared" si="7"/>
        <v>1596967.6945729998</v>
      </c>
      <c r="I22" s="39">
        <f t="shared" si="7"/>
        <v>43482.018227</v>
      </c>
      <c r="J22" s="39">
        <f t="shared" si="7"/>
        <v>21666.307009999997</v>
      </c>
      <c r="K22" s="40">
        <f t="shared" si="2"/>
        <v>2.518357605772727</v>
      </c>
      <c r="L22" s="40">
        <f>E22/D22</f>
        <v>1.2980211009839904</v>
      </c>
      <c r="M22" s="43"/>
    </row>
    <row r="23" spans="1:13" s="44" customFormat="1" ht="21" customHeight="1">
      <c r="A23" s="45" t="s">
        <v>78</v>
      </c>
      <c r="B23" s="46" t="s">
        <v>64</v>
      </c>
      <c r="C23" s="47">
        <v>459760</v>
      </c>
      <c r="D23" s="47"/>
      <c r="E23" s="47">
        <f t="shared" si="6"/>
        <v>1073803</v>
      </c>
      <c r="F23" s="47"/>
      <c r="G23" s="47">
        <f t="shared" si="5"/>
        <v>1073803</v>
      </c>
      <c r="H23" s="47">
        <v>1013479</v>
      </c>
      <c r="I23" s="47">
        <v>40246</v>
      </c>
      <c r="J23" s="47">
        <v>20078</v>
      </c>
      <c r="K23" s="48">
        <f t="shared" si="2"/>
        <v>2.335572907603967</v>
      </c>
      <c r="L23" s="48"/>
      <c r="M23" s="43"/>
    </row>
    <row r="24" spans="1:13" s="44" customFormat="1" ht="21" customHeight="1">
      <c r="A24" s="45" t="s">
        <v>79</v>
      </c>
      <c r="B24" s="46" t="s">
        <v>66</v>
      </c>
      <c r="C24" s="47"/>
      <c r="D24" s="47"/>
      <c r="E24" s="47"/>
      <c r="F24" s="47"/>
      <c r="G24" s="47"/>
      <c r="H24" s="47"/>
      <c r="I24" s="47"/>
      <c r="J24" s="47"/>
      <c r="K24" s="48"/>
      <c r="L24" s="48"/>
      <c r="M24" s="43"/>
    </row>
    <row r="25" spans="1:13" s="44" customFormat="1" ht="21" customHeight="1">
      <c r="A25" s="45" t="s">
        <v>80</v>
      </c>
      <c r="B25" s="46" t="s">
        <v>81</v>
      </c>
      <c r="C25" s="47">
        <v>200000</v>
      </c>
      <c r="D25" s="47"/>
      <c r="E25" s="47">
        <f t="shared" si="6"/>
        <v>423571.205046</v>
      </c>
      <c r="F25" s="47"/>
      <c r="G25" s="47">
        <f t="shared" si="5"/>
        <v>423571.205046</v>
      </c>
      <c r="H25" s="47">
        <v>419287.777564</v>
      </c>
      <c r="I25" s="47">
        <v>2865.653608</v>
      </c>
      <c r="J25" s="47">
        <v>1417.773874</v>
      </c>
      <c r="K25" s="48">
        <f t="shared" si="2"/>
        <v>2.11785602523</v>
      </c>
      <c r="L25" s="48"/>
      <c r="M25" s="43"/>
    </row>
    <row r="26" spans="1:13" s="44" customFormat="1" ht="21" customHeight="1">
      <c r="A26" s="45" t="s">
        <v>82</v>
      </c>
      <c r="B26" s="46" t="s">
        <v>72</v>
      </c>
      <c r="C26" s="47">
        <v>100</v>
      </c>
      <c r="D26" s="47"/>
      <c r="E26" s="47">
        <f t="shared" si="6"/>
        <v>159981.867684</v>
      </c>
      <c r="F26" s="47"/>
      <c r="G26" s="47">
        <f t="shared" si="5"/>
        <v>159981.867684</v>
      </c>
      <c r="H26" s="47">
        <v>159555.534849</v>
      </c>
      <c r="I26" s="47">
        <v>255.799699</v>
      </c>
      <c r="J26" s="47">
        <v>170.533136</v>
      </c>
      <c r="K26" s="48">
        <f t="shared" si="2"/>
        <v>1599.81867684</v>
      </c>
      <c r="L26" s="48"/>
      <c r="M26" s="43"/>
    </row>
    <row r="27" spans="1:13" s="44" customFormat="1" ht="21" customHeight="1">
      <c r="A27" s="45" t="s">
        <v>83</v>
      </c>
      <c r="B27" s="46" t="s">
        <v>74</v>
      </c>
      <c r="C27" s="47">
        <v>125</v>
      </c>
      <c r="D27" s="47"/>
      <c r="E27" s="47">
        <f t="shared" si="6"/>
        <v>113.5</v>
      </c>
      <c r="F27" s="47"/>
      <c r="G27" s="47">
        <f t="shared" si="5"/>
        <v>113.5</v>
      </c>
      <c r="H27" s="47"/>
      <c r="I27" s="47">
        <v>113.5</v>
      </c>
      <c r="J27" s="47"/>
      <c r="K27" s="48">
        <f t="shared" si="2"/>
        <v>0.908</v>
      </c>
      <c r="L27" s="48"/>
      <c r="M27" s="43"/>
    </row>
    <row r="28" spans="1:13" s="44" customFormat="1" ht="21" customHeight="1">
      <c r="A28" s="45" t="s">
        <v>84</v>
      </c>
      <c r="B28" s="46" t="s">
        <v>85</v>
      </c>
      <c r="C28" s="47"/>
      <c r="D28" s="47"/>
      <c r="E28" s="47">
        <f t="shared" si="6"/>
        <v>4566.068087</v>
      </c>
      <c r="F28" s="47"/>
      <c r="G28" s="47">
        <f t="shared" si="5"/>
        <v>4566.068087</v>
      </c>
      <c r="H28" s="47">
        <v>4566.068087</v>
      </c>
      <c r="I28" s="47"/>
      <c r="J28" s="47"/>
      <c r="K28" s="48"/>
      <c r="L28" s="48"/>
      <c r="M28" s="43"/>
    </row>
    <row r="29" spans="1:13" s="44" customFormat="1" ht="21" customHeight="1">
      <c r="A29" s="45" t="s">
        <v>86</v>
      </c>
      <c r="B29" s="46" t="s">
        <v>87</v>
      </c>
      <c r="C29" s="47">
        <v>15</v>
      </c>
      <c r="D29" s="47"/>
      <c r="E29" s="47">
        <f t="shared" si="6"/>
        <v>80.378993</v>
      </c>
      <c r="F29" s="47"/>
      <c r="G29" s="47">
        <f t="shared" si="5"/>
        <v>80.378993</v>
      </c>
      <c r="H29" s="47">
        <v>79.314073</v>
      </c>
      <c r="I29" s="47">
        <v>1.06492</v>
      </c>
      <c r="J29" s="47"/>
      <c r="K29" s="48">
        <f t="shared" si="2"/>
        <v>5.358599533333333</v>
      </c>
      <c r="L29" s="48"/>
      <c r="M29" s="43"/>
    </row>
    <row r="30" spans="1:13" s="44" customFormat="1" ht="21" customHeight="1">
      <c r="A30" s="41">
        <v>3</v>
      </c>
      <c r="B30" s="42" t="s">
        <v>88</v>
      </c>
      <c r="C30" s="39">
        <f>SUM(C31:C36)</f>
        <v>490000</v>
      </c>
      <c r="D30" s="39">
        <v>642000</v>
      </c>
      <c r="E30" s="39">
        <f aca="true" t="shared" si="8" ref="E30:J30">SUM(E31:E36)</f>
        <v>691930.341284</v>
      </c>
      <c r="F30" s="39"/>
      <c r="G30" s="39">
        <f t="shared" si="5"/>
        <v>691930.341284</v>
      </c>
      <c r="H30" s="39">
        <f t="shared" si="8"/>
        <v>374155.252141</v>
      </c>
      <c r="I30" s="39">
        <f t="shared" si="8"/>
        <v>212474.473269</v>
      </c>
      <c r="J30" s="39">
        <f t="shared" si="8"/>
        <v>105300.61587400001</v>
      </c>
      <c r="K30" s="40">
        <f t="shared" si="2"/>
        <v>1.4121027373142856</v>
      </c>
      <c r="L30" s="40">
        <f>E30/D30</f>
        <v>1.0777731172647975</v>
      </c>
      <c r="M30" s="43"/>
    </row>
    <row r="31" spans="1:13" s="44" customFormat="1" ht="21" customHeight="1">
      <c r="A31" s="45" t="s">
        <v>89</v>
      </c>
      <c r="B31" s="46" t="s">
        <v>64</v>
      </c>
      <c r="C31" s="47">
        <v>421100</v>
      </c>
      <c r="D31" s="47"/>
      <c r="E31" s="47">
        <f t="shared" si="6"/>
        <v>561263.610148</v>
      </c>
      <c r="F31" s="47"/>
      <c r="G31" s="47">
        <f t="shared" si="5"/>
        <v>561263.610148</v>
      </c>
      <c r="H31" s="47">
        <v>307265.235271</v>
      </c>
      <c r="I31" s="47">
        <v>170275.309078</v>
      </c>
      <c r="J31" s="47">
        <v>83723.065799</v>
      </c>
      <c r="K31" s="48"/>
      <c r="L31" s="48"/>
      <c r="M31" s="43"/>
    </row>
    <row r="32" spans="1:13" s="44" customFormat="1" ht="21" customHeight="1">
      <c r="A32" s="45" t="s">
        <v>90</v>
      </c>
      <c r="B32" s="46" t="s">
        <v>66</v>
      </c>
      <c r="C32" s="47">
        <v>1400</v>
      </c>
      <c r="D32" s="47"/>
      <c r="E32" s="47">
        <f t="shared" si="6"/>
        <v>3637.243225</v>
      </c>
      <c r="F32" s="47"/>
      <c r="G32" s="47">
        <f t="shared" si="5"/>
        <v>3637.243225</v>
      </c>
      <c r="H32" s="47">
        <v>2897.180269</v>
      </c>
      <c r="I32" s="47">
        <v>370.031453</v>
      </c>
      <c r="J32" s="47">
        <v>370.031503</v>
      </c>
      <c r="K32" s="48"/>
      <c r="L32" s="48"/>
      <c r="M32" s="43"/>
    </row>
    <row r="33" spans="1:13" s="44" customFormat="1" ht="21" customHeight="1">
      <c r="A33" s="45" t="s">
        <v>91</v>
      </c>
      <c r="B33" s="46" t="s">
        <v>81</v>
      </c>
      <c r="C33" s="47">
        <v>35000</v>
      </c>
      <c r="D33" s="47"/>
      <c r="E33" s="47">
        <f t="shared" si="6"/>
        <v>67480.897134</v>
      </c>
      <c r="F33" s="47"/>
      <c r="G33" s="47">
        <f t="shared" si="5"/>
        <v>67480.897134</v>
      </c>
      <c r="H33" s="47">
        <v>47939.791034</v>
      </c>
      <c r="I33" s="47">
        <v>15355.936167</v>
      </c>
      <c r="J33" s="47">
        <v>4185.169933</v>
      </c>
      <c r="K33" s="48"/>
      <c r="L33" s="48"/>
      <c r="M33" s="43"/>
    </row>
    <row r="34" spans="1:13" s="44" customFormat="1" ht="21" customHeight="1">
      <c r="A34" s="45" t="s">
        <v>92</v>
      </c>
      <c r="B34" s="46" t="s">
        <v>72</v>
      </c>
      <c r="C34" s="47">
        <v>17000</v>
      </c>
      <c r="D34" s="47"/>
      <c r="E34" s="47">
        <f t="shared" si="6"/>
        <v>32655.746364</v>
      </c>
      <c r="F34" s="47"/>
      <c r="G34" s="47">
        <f t="shared" si="5"/>
        <v>32655.746364</v>
      </c>
      <c r="H34" s="47">
        <v>9418.143843</v>
      </c>
      <c r="I34" s="47">
        <v>13942.032605</v>
      </c>
      <c r="J34" s="47">
        <v>9295.569916</v>
      </c>
      <c r="K34" s="48"/>
      <c r="L34" s="48"/>
      <c r="M34" s="43"/>
    </row>
    <row r="35" spans="1:13" s="44" customFormat="1" ht="21" customHeight="1">
      <c r="A35" s="45" t="s">
        <v>93</v>
      </c>
      <c r="B35" s="46" t="s">
        <v>74</v>
      </c>
      <c r="C35" s="47">
        <v>11500</v>
      </c>
      <c r="D35" s="47"/>
      <c r="E35" s="47">
        <f t="shared" si="6"/>
        <v>13196.377527</v>
      </c>
      <c r="F35" s="47"/>
      <c r="G35" s="47">
        <f t="shared" si="5"/>
        <v>13196.377527</v>
      </c>
      <c r="H35" s="47"/>
      <c r="I35" s="47">
        <v>5469.598804</v>
      </c>
      <c r="J35" s="47">
        <v>7726.778723</v>
      </c>
      <c r="K35" s="48"/>
      <c r="L35" s="48"/>
      <c r="M35" s="43"/>
    </row>
    <row r="36" spans="1:13" s="44" customFormat="1" ht="21" customHeight="1">
      <c r="A36" s="45" t="s">
        <v>94</v>
      </c>
      <c r="B36" s="46" t="s">
        <v>87</v>
      </c>
      <c r="C36" s="47">
        <v>4000</v>
      </c>
      <c r="D36" s="47"/>
      <c r="E36" s="47">
        <f t="shared" si="6"/>
        <v>13696.466886</v>
      </c>
      <c r="F36" s="47"/>
      <c r="G36" s="47">
        <f t="shared" si="5"/>
        <v>13696.466886</v>
      </c>
      <c r="H36" s="47">
        <v>6634.901724</v>
      </c>
      <c r="I36" s="47">
        <v>7061.565162</v>
      </c>
      <c r="J36" s="47"/>
      <c r="K36" s="48"/>
      <c r="L36" s="48"/>
      <c r="M36" s="43"/>
    </row>
    <row r="37" spans="1:13" s="32" customFormat="1" ht="21" customHeight="1">
      <c r="A37" s="41">
        <v>4</v>
      </c>
      <c r="B37" s="42" t="s">
        <v>95</v>
      </c>
      <c r="C37" s="39"/>
      <c r="D37" s="39"/>
      <c r="E37" s="39">
        <f t="shared" si="6"/>
        <v>491.564158</v>
      </c>
      <c r="F37" s="39"/>
      <c r="G37" s="39">
        <f t="shared" si="5"/>
        <v>491.564158</v>
      </c>
      <c r="H37" s="39"/>
      <c r="I37" s="39"/>
      <c r="J37" s="39">
        <v>491.564158</v>
      </c>
      <c r="K37" s="48"/>
      <c r="L37" s="48"/>
      <c r="M37" s="31"/>
    </row>
    <row r="38" spans="1:13" s="44" customFormat="1" ht="21" customHeight="1">
      <c r="A38" s="41">
        <v>5</v>
      </c>
      <c r="B38" s="42" t="s">
        <v>96</v>
      </c>
      <c r="C38" s="39">
        <v>115000</v>
      </c>
      <c r="D38" s="39">
        <v>167000</v>
      </c>
      <c r="E38" s="39">
        <f>F38+G38</f>
        <v>164616.96619199996</v>
      </c>
      <c r="F38" s="47"/>
      <c r="G38" s="39">
        <f t="shared" si="5"/>
        <v>164616.96619199996</v>
      </c>
      <c r="H38" s="39">
        <v>106217.942193</v>
      </c>
      <c r="I38" s="39">
        <v>45521.97523</v>
      </c>
      <c r="J38" s="39">
        <v>12877.048769</v>
      </c>
      <c r="K38" s="40">
        <f t="shared" si="2"/>
        <v>1.4314518799304345</v>
      </c>
      <c r="L38" s="40">
        <f aca="true" t="shared" si="9" ref="L38:L48">E38/D38</f>
        <v>0.9857303364790417</v>
      </c>
      <c r="M38" s="43"/>
    </row>
    <row r="39" spans="1:13" s="32" customFormat="1" ht="21" customHeight="1">
      <c r="A39" s="41">
        <v>6</v>
      </c>
      <c r="B39" s="42" t="s">
        <v>97</v>
      </c>
      <c r="C39" s="39">
        <v>95000</v>
      </c>
      <c r="D39" s="39">
        <v>145250</v>
      </c>
      <c r="E39" s="39">
        <f aca="true" t="shared" si="10" ref="E39:E87">F39+G39</f>
        <v>124221.908821</v>
      </c>
      <c r="F39" s="47"/>
      <c r="G39" s="39">
        <f t="shared" si="5"/>
        <v>124221.908821</v>
      </c>
      <c r="H39" s="39">
        <v>112463.379675</v>
      </c>
      <c r="I39" s="39">
        <v>11758.529146</v>
      </c>
      <c r="J39" s="39"/>
      <c r="K39" s="40">
        <f t="shared" si="2"/>
        <v>1.3075990402210527</v>
      </c>
      <c r="L39" s="40">
        <f t="shared" si="9"/>
        <v>0.8552282879242685</v>
      </c>
      <c r="M39" s="31"/>
    </row>
    <row r="40" spans="1:13" s="32" customFormat="1" ht="21" customHeight="1">
      <c r="A40" s="41">
        <v>7</v>
      </c>
      <c r="B40" s="42" t="s">
        <v>98</v>
      </c>
      <c r="C40" s="39">
        <f>SUM(C41:C44)</f>
        <v>70000</v>
      </c>
      <c r="D40" s="39">
        <f>SUM(D41:D44)</f>
        <v>144775</v>
      </c>
      <c r="E40" s="39">
        <f t="shared" si="10"/>
        <v>146314.525718</v>
      </c>
      <c r="F40" s="39">
        <f>SUM(F41:F44)</f>
        <v>8541.525718</v>
      </c>
      <c r="G40" s="39">
        <f>SUM(G41:G44)</f>
        <v>137773</v>
      </c>
      <c r="H40" s="39">
        <f>SUM(H41:H44)</f>
        <v>102843</v>
      </c>
      <c r="I40" s="39">
        <f>SUM(I41:I44)</f>
        <v>9983</v>
      </c>
      <c r="J40" s="39">
        <f>SUM(J41:J44)</f>
        <v>24947</v>
      </c>
      <c r="K40" s="40">
        <f t="shared" si="2"/>
        <v>2.0902075102571427</v>
      </c>
      <c r="L40" s="40">
        <f t="shared" si="9"/>
        <v>1.0106339196546363</v>
      </c>
      <c r="M40" s="31"/>
    </row>
    <row r="41" spans="1:13" s="44" customFormat="1" ht="21" customHeight="1">
      <c r="A41" s="45" t="s">
        <v>99</v>
      </c>
      <c r="B41" s="46" t="s">
        <v>100</v>
      </c>
      <c r="C41" s="47">
        <v>6000</v>
      </c>
      <c r="D41" s="47">
        <v>29000</v>
      </c>
      <c r="E41" s="47">
        <f t="shared" si="10"/>
        <v>8541.525718</v>
      </c>
      <c r="F41" s="47">
        <v>8541.525718</v>
      </c>
      <c r="G41" s="47"/>
      <c r="H41" s="49"/>
      <c r="I41" s="47"/>
      <c r="J41" s="47"/>
      <c r="K41" s="48">
        <f t="shared" si="2"/>
        <v>1.4235876196666668</v>
      </c>
      <c r="L41" s="48">
        <f t="shared" si="9"/>
        <v>0.2945353695862069</v>
      </c>
      <c r="M41" s="43"/>
    </row>
    <row r="42" spans="1:13" s="44" customFormat="1" ht="21" customHeight="1">
      <c r="A42" s="45" t="s">
        <v>101</v>
      </c>
      <c r="B42" s="46" t="s">
        <v>102</v>
      </c>
      <c r="C42" s="49">
        <v>64000</v>
      </c>
      <c r="D42" s="47">
        <v>90000</v>
      </c>
      <c r="E42" s="47">
        <f t="shared" si="10"/>
        <v>102843</v>
      </c>
      <c r="F42" s="47"/>
      <c r="G42" s="47">
        <v>102843</v>
      </c>
      <c r="H42" s="49">
        <v>102843</v>
      </c>
      <c r="I42" s="49"/>
      <c r="J42" s="49"/>
      <c r="K42" s="48">
        <f t="shared" si="2"/>
        <v>1.606921875</v>
      </c>
      <c r="L42" s="48">
        <f t="shared" si="9"/>
        <v>1.1427</v>
      </c>
      <c r="M42" s="43"/>
    </row>
    <row r="43" spans="1:13" s="44" customFormat="1" ht="21" customHeight="1">
      <c r="A43" s="45" t="s">
        <v>103</v>
      </c>
      <c r="B43" s="46" t="s">
        <v>104</v>
      </c>
      <c r="C43" s="49"/>
      <c r="D43" s="47">
        <v>10775</v>
      </c>
      <c r="E43" s="47">
        <f t="shared" si="10"/>
        <v>9983</v>
      </c>
      <c r="F43" s="47"/>
      <c r="G43" s="47">
        <v>9983</v>
      </c>
      <c r="H43" s="47"/>
      <c r="I43" s="49">
        <v>9983</v>
      </c>
      <c r="J43" s="49"/>
      <c r="K43" s="48"/>
      <c r="L43" s="48">
        <f t="shared" si="9"/>
        <v>0.9264965197215778</v>
      </c>
      <c r="M43" s="43"/>
    </row>
    <row r="44" spans="1:13" s="44" customFormat="1" ht="21" customHeight="1">
      <c r="A44" s="45" t="s">
        <v>105</v>
      </c>
      <c r="B44" s="46" t="s">
        <v>106</v>
      </c>
      <c r="C44" s="49"/>
      <c r="D44" s="47">
        <v>15000</v>
      </c>
      <c r="E44" s="47">
        <f t="shared" si="10"/>
        <v>24947</v>
      </c>
      <c r="F44" s="47"/>
      <c r="G44" s="47">
        <v>24947</v>
      </c>
      <c r="H44" s="47"/>
      <c r="I44" s="47"/>
      <c r="J44" s="47">
        <v>24947</v>
      </c>
      <c r="K44" s="48"/>
      <c r="L44" s="48">
        <f t="shared" si="9"/>
        <v>1.6631333333333334</v>
      </c>
      <c r="M44" s="43"/>
    </row>
    <row r="45" spans="1:13" s="32" customFormat="1" ht="21" customHeight="1">
      <c r="A45" s="41">
        <v>8</v>
      </c>
      <c r="B45" s="42" t="s">
        <v>107</v>
      </c>
      <c r="C45" s="39">
        <f>SUM(C46:C49)</f>
        <v>782000</v>
      </c>
      <c r="D45" s="39">
        <f aca="true" t="shared" si="11" ref="D45:J45">SUM(D46:D49)</f>
        <v>804225</v>
      </c>
      <c r="E45" s="39">
        <f t="shared" si="11"/>
        <v>679610.26834</v>
      </c>
      <c r="F45" s="39">
        <f t="shared" si="11"/>
        <v>0</v>
      </c>
      <c r="G45" s="39">
        <f t="shared" si="11"/>
        <v>679610.26834</v>
      </c>
      <c r="H45" s="39">
        <f t="shared" si="11"/>
        <v>236302.682802</v>
      </c>
      <c r="I45" s="39">
        <f t="shared" si="11"/>
        <v>203144.489876</v>
      </c>
      <c r="J45" s="39">
        <f t="shared" si="11"/>
        <v>240163.09566199998</v>
      </c>
      <c r="K45" s="40">
        <f t="shared" si="2"/>
        <v>0.8690668393094628</v>
      </c>
      <c r="L45" s="40">
        <f t="shared" si="9"/>
        <v>0.8450499155584569</v>
      </c>
      <c r="M45" s="31"/>
    </row>
    <row r="46" spans="1:13" s="32" customFormat="1" ht="21" customHeight="1">
      <c r="A46" s="45" t="s">
        <v>108</v>
      </c>
      <c r="B46" s="50" t="s">
        <v>109</v>
      </c>
      <c r="C46" s="47">
        <v>15000</v>
      </c>
      <c r="D46" s="47">
        <v>9003</v>
      </c>
      <c r="E46" s="47">
        <f t="shared" si="10"/>
        <v>11195.248638</v>
      </c>
      <c r="F46" s="47"/>
      <c r="G46" s="47">
        <f>H46+I46+J46</f>
        <v>11195.248638</v>
      </c>
      <c r="H46" s="47">
        <v>5.091248</v>
      </c>
      <c r="I46" s="47">
        <v>5.365611</v>
      </c>
      <c r="J46" s="47">
        <v>11184.791779</v>
      </c>
      <c r="K46" s="48">
        <f>E46/C46</f>
        <v>0.7463499092</v>
      </c>
      <c r="L46" s="48">
        <f t="shared" si="9"/>
        <v>1.2435020146617792</v>
      </c>
      <c r="M46" s="31"/>
    </row>
    <row r="47" spans="1:13" s="44" customFormat="1" ht="21" customHeight="1">
      <c r="A47" s="45" t="s">
        <v>110</v>
      </c>
      <c r="B47" s="46" t="s">
        <v>111</v>
      </c>
      <c r="C47" s="47">
        <v>50000</v>
      </c>
      <c r="D47" s="47">
        <v>45222</v>
      </c>
      <c r="E47" s="47">
        <f t="shared" si="10"/>
        <v>32746.947557</v>
      </c>
      <c r="F47" s="47"/>
      <c r="G47" s="47">
        <f t="shared" si="5"/>
        <v>32746.947557</v>
      </c>
      <c r="H47" s="47">
        <v>29551.19149</v>
      </c>
      <c r="I47" s="47">
        <v>3195.756067</v>
      </c>
      <c r="J47" s="47"/>
      <c r="K47" s="48">
        <f t="shared" si="2"/>
        <v>0.65493895114</v>
      </c>
      <c r="L47" s="48">
        <f t="shared" si="9"/>
        <v>0.7241375338773164</v>
      </c>
      <c r="M47" s="43"/>
    </row>
    <row r="48" spans="1:13" s="44" customFormat="1" ht="21" customHeight="1">
      <c r="A48" s="45" t="s">
        <v>112</v>
      </c>
      <c r="B48" s="46" t="s">
        <v>113</v>
      </c>
      <c r="C48" s="47">
        <v>717000</v>
      </c>
      <c r="D48" s="47">
        <v>750000</v>
      </c>
      <c r="E48" s="47">
        <f t="shared" si="10"/>
        <v>635053.958145</v>
      </c>
      <c r="F48" s="47"/>
      <c r="G48" s="47">
        <f t="shared" si="5"/>
        <v>635053.958145</v>
      </c>
      <c r="H48" s="47">
        <v>206136.660064</v>
      </c>
      <c r="I48" s="47">
        <v>199938.994198</v>
      </c>
      <c r="J48" s="47">
        <v>228978.303883</v>
      </c>
      <c r="K48" s="48">
        <f t="shared" si="2"/>
        <v>0.885709843995816</v>
      </c>
      <c r="L48" s="48">
        <f t="shared" si="9"/>
        <v>0.84673861086</v>
      </c>
      <c r="M48" s="43"/>
    </row>
    <row r="49" spans="1:13" s="52" customFormat="1" ht="32.25" customHeight="1">
      <c r="A49" s="45" t="s">
        <v>114</v>
      </c>
      <c r="B49" s="46" t="s">
        <v>237</v>
      </c>
      <c r="C49" s="47"/>
      <c r="D49" s="47"/>
      <c r="E49" s="47">
        <f t="shared" si="10"/>
        <v>614.114</v>
      </c>
      <c r="F49" s="47"/>
      <c r="G49" s="47">
        <f t="shared" si="5"/>
        <v>614.114</v>
      </c>
      <c r="H49" s="47">
        <v>609.74</v>
      </c>
      <c r="I49" s="47">
        <v>4.374</v>
      </c>
      <c r="J49" s="47"/>
      <c r="K49" s="48"/>
      <c r="L49" s="48"/>
      <c r="M49" s="51"/>
    </row>
    <row r="50" spans="1:13" s="32" customFormat="1" ht="21" customHeight="1">
      <c r="A50" s="41">
        <v>9</v>
      </c>
      <c r="B50" s="53" t="s">
        <v>115</v>
      </c>
      <c r="C50" s="39">
        <v>195000</v>
      </c>
      <c r="D50" s="39">
        <v>220000</v>
      </c>
      <c r="E50" s="39">
        <f t="shared" si="10"/>
        <v>177657.690288</v>
      </c>
      <c r="F50" s="39"/>
      <c r="G50" s="39">
        <f t="shared" si="5"/>
        <v>177657.690288</v>
      </c>
      <c r="H50" s="39">
        <v>177657.690288</v>
      </c>
      <c r="I50" s="39"/>
      <c r="J50" s="39"/>
      <c r="K50" s="40">
        <f t="shared" si="2"/>
        <v>0.9110650784000001</v>
      </c>
      <c r="L50" s="40">
        <f>E50/D50</f>
        <v>0.8075349558545455</v>
      </c>
      <c r="M50" s="31"/>
    </row>
    <row r="51" spans="1:13" s="32" customFormat="1" ht="21" customHeight="1">
      <c r="A51" s="41">
        <v>10</v>
      </c>
      <c r="B51" s="53" t="s">
        <v>116</v>
      </c>
      <c r="C51" s="39">
        <v>21000</v>
      </c>
      <c r="D51" s="39">
        <v>25900</v>
      </c>
      <c r="E51" s="39">
        <f t="shared" si="10"/>
        <v>30685.683462</v>
      </c>
      <c r="F51" s="39">
        <f>SUM(F52:F56)</f>
        <v>10</v>
      </c>
      <c r="G51" s="39">
        <f t="shared" si="5"/>
        <v>30675.683462</v>
      </c>
      <c r="H51" s="39"/>
      <c r="I51" s="39"/>
      <c r="J51" s="39">
        <f>SUM(J52:J56)</f>
        <v>30675.683462</v>
      </c>
      <c r="K51" s="40">
        <f t="shared" si="2"/>
        <v>1.461223022</v>
      </c>
      <c r="L51" s="40">
        <f>E51/D51</f>
        <v>1.1847754232432433</v>
      </c>
      <c r="M51" s="31"/>
    </row>
    <row r="52" spans="1:13" s="44" customFormat="1" ht="21" customHeight="1">
      <c r="A52" s="45" t="s">
        <v>117</v>
      </c>
      <c r="B52" s="46" t="s">
        <v>118</v>
      </c>
      <c r="C52" s="47">
        <v>21000</v>
      </c>
      <c r="D52" s="47"/>
      <c r="E52" s="47">
        <f t="shared" si="10"/>
        <v>10814</v>
      </c>
      <c r="F52" s="47"/>
      <c r="G52" s="47">
        <f t="shared" si="5"/>
        <v>10814</v>
      </c>
      <c r="H52" s="47"/>
      <c r="I52" s="47"/>
      <c r="J52" s="47">
        <f>38255-J75</f>
        <v>10814</v>
      </c>
      <c r="K52" s="48">
        <f t="shared" si="2"/>
        <v>0.5149523809523809</v>
      </c>
      <c r="L52" s="48"/>
      <c r="M52" s="43"/>
    </row>
    <row r="53" spans="1:13" s="44" customFormat="1" ht="21" customHeight="1">
      <c r="A53" s="45" t="s">
        <v>119</v>
      </c>
      <c r="B53" s="46" t="s">
        <v>120</v>
      </c>
      <c r="C53" s="47"/>
      <c r="D53" s="47"/>
      <c r="E53" s="47">
        <f t="shared" si="10"/>
        <v>150</v>
      </c>
      <c r="F53" s="47"/>
      <c r="G53" s="47">
        <f t="shared" si="5"/>
        <v>150</v>
      </c>
      <c r="H53" s="47"/>
      <c r="I53" s="47"/>
      <c r="J53" s="47">
        <v>150</v>
      </c>
      <c r="K53" s="48"/>
      <c r="L53" s="48"/>
      <c r="M53" s="43"/>
    </row>
    <row r="54" spans="1:13" s="44" customFormat="1" ht="21" customHeight="1">
      <c r="A54" s="45" t="s">
        <v>121</v>
      </c>
      <c r="B54" s="46" t="s">
        <v>122</v>
      </c>
      <c r="C54" s="47"/>
      <c r="D54" s="47"/>
      <c r="E54" s="47">
        <f t="shared" si="10"/>
        <v>1461.092</v>
      </c>
      <c r="F54" s="47"/>
      <c r="G54" s="47">
        <f t="shared" si="5"/>
        <v>1461.092</v>
      </c>
      <c r="H54" s="47"/>
      <c r="I54" s="47"/>
      <c r="J54" s="47">
        <v>1461.092</v>
      </c>
      <c r="K54" s="48"/>
      <c r="L54" s="48"/>
      <c r="M54" s="43"/>
    </row>
    <row r="55" spans="1:13" s="44" customFormat="1" ht="21" customHeight="1">
      <c r="A55" s="45" t="s">
        <v>123</v>
      </c>
      <c r="B55" s="46" t="s">
        <v>124</v>
      </c>
      <c r="C55" s="47"/>
      <c r="D55" s="47"/>
      <c r="E55" s="47">
        <f t="shared" si="10"/>
        <v>1255.321</v>
      </c>
      <c r="F55" s="47">
        <v>10</v>
      </c>
      <c r="G55" s="47">
        <f t="shared" si="5"/>
        <v>1245.321</v>
      </c>
      <c r="H55" s="47"/>
      <c r="I55" s="47"/>
      <c r="J55" s="47">
        <v>1245.321</v>
      </c>
      <c r="K55" s="48"/>
      <c r="L55" s="48"/>
      <c r="M55" s="43"/>
    </row>
    <row r="56" spans="1:13" s="44" customFormat="1" ht="21" customHeight="1">
      <c r="A56" s="45" t="s">
        <v>125</v>
      </c>
      <c r="B56" s="46" t="s">
        <v>126</v>
      </c>
      <c r="C56" s="47"/>
      <c r="D56" s="47"/>
      <c r="E56" s="47">
        <f t="shared" si="10"/>
        <v>17005.270462</v>
      </c>
      <c r="F56" s="47"/>
      <c r="G56" s="47">
        <f t="shared" si="5"/>
        <v>17005.270462</v>
      </c>
      <c r="H56" s="47"/>
      <c r="I56" s="47"/>
      <c r="J56" s="47">
        <v>17005.270462</v>
      </c>
      <c r="K56" s="48"/>
      <c r="L56" s="48"/>
      <c r="M56" s="43"/>
    </row>
    <row r="57" spans="1:13" s="32" customFormat="1" ht="21" customHeight="1">
      <c r="A57" s="41">
        <v>11</v>
      </c>
      <c r="B57" s="42" t="s">
        <v>127</v>
      </c>
      <c r="C57" s="39">
        <v>27000</v>
      </c>
      <c r="D57" s="39">
        <v>83350</v>
      </c>
      <c r="E57" s="39">
        <f t="shared" si="10"/>
        <v>103678.097146</v>
      </c>
      <c r="F57" s="39">
        <v>17545</v>
      </c>
      <c r="G57" s="39">
        <f t="shared" si="5"/>
        <v>86133.097146</v>
      </c>
      <c r="H57" s="39">
        <f>SUM(H58:H63)</f>
        <v>43652.136946</v>
      </c>
      <c r="I57" s="39">
        <f>SUM(I58:I63)</f>
        <v>41952.9552</v>
      </c>
      <c r="J57" s="39">
        <f>SUM(J58:J63)</f>
        <v>528.005</v>
      </c>
      <c r="K57" s="40">
        <f t="shared" si="2"/>
        <v>3.839929523925926</v>
      </c>
      <c r="L57" s="40">
        <f>E57/D57</f>
        <v>1.2438883880743852</v>
      </c>
      <c r="M57" s="31"/>
    </row>
    <row r="58" spans="1:13" s="44" customFormat="1" ht="21" customHeight="1">
      <c r="A58" s="45" t="s">
        <v>128</v>
      </c>
      <c r="B58" s="46" t="s">
        <v>129</v>
      </c>
      <c r="C58" s="47"/>
      <c r="D58" s="47"/>
      <c r="E58" s="47">
        <f t="shared" si="10"/>
        <v>60717.104986</v>
      </c>
      <c r="F58" s="47">
        <v>14529</v>
      </c>
      <c r="G58" s="47">
        <f t="shared" si="5"/>
        <v>46188.104986</v>
      </c>
      <c r="H58" s="47">
        <v>27473.104986</v>
      </c>
      <c r="I58" s="47">
        <v>18715</v>
      </c>
      <c r="J58" s="47"/>
      <c r="K58" s="48"/>
      <c r="L58" s="48"/>
      <c r="M58" s="43"/>
    </row>
    <row r="59" spans="1:13" s="44" customFormat="1" ht="21" customHeight="1">
      <c r="A59" s="45" t="s">
        <v>130</v>
      </c>
      <c r="B59" s="46" t="s">
        <v>131</v>
      </c>
      <c r="C59" s="47"/>
      <c r="D59" s="47"/>
      <c r="E59" s="47">
        <f t="shared" si="10"/>
        <v>5150</v>
      </c>
      <c r="F59" s="47">
        <v>211</v>
      </c>
      <c r="G59" s="47">
        <f t="shared" si="5"/>
        <v>4939</v>
      </c>
      <c r="H59" s="47">
        <f>3018-H74</f>
        <v>242</v>
      </c>
      <c r="I59" s="47">
        <f>6164-I74</f>
        <v>4697</v>
      </c>
      <c r="J59" s="47"/>
      <c r="K59" s="48"/>
      <c r="L59" s="48"/>
      <c r="M59" s="43"/>
    </row>
    <row r="60" spans="1:13" s="44" customFormat="1" ht="21" customHeight="1">
      <c r="A60" s="45" t="s">
        <v>132</v>
      </c>
      <c r="B60" s="46" t="s">
        <v>122</v>
      </c>
      <c r="C60" s="47"/>
      <c r="D60" s="47"/>
      <c r="E60" s="47">
        <f t="shared" si="10"/>
        <v>4682.224647999999</v>
      </c>
      <c r="F60" s="47">
        <v>1875</v>
      </c>
      <c r="G60" s="47">
        <f t="shared" si="5"/>
        <v>2807.224648</v>
      </c>
      <c r="H60" s="47">
        <v>2372.679248</v>
      </c>
      <c r="I60" s="47">
        <v>434.5454</v>
      </c>
      <c r="J60" s="47"/>
      <c r="K60" s="48"/>
      <c r="L60" s="48"/>
      <c r="M60" s="43"/>
    </row>
    <row r="61" spans="1:13" s="44" customFormat="1" ht="21" customHeight="1">
      <c r="A61" s="45" t="s">
        <v>133</v>
      </c>
      <c r="B61" s="46" t="s">
        <v>120</v>
      </c>
      <c r="C61" s="47"/>
      <c r="D61" s="47"/>
      <c r="E61" s="47">
        <f t="shared" si="10"/>
        <v>564</v>
      </c>
      <c r="F61" s="47">
        <v>564</v>
      </c>
      <c r="G61" s="47">
        <f t="shared" si="5"/>
        <v>0</v>
      </c>
      <c r="H61" s="47"/>
      <c r="I61" s="47"/>
      <c r="J61" s="47"/>
      <c r="K61" s="48"/>
      <c r="L61" s="48"/>
      <c r="M61" s="43"/>
    </row>
    <row r="62" spans="1:13" s="52" customFormat="1" ht="21" customHeight="1">
      <c r="A62" s="45" t="s">
        <v>134</v>
      </c>
      <c r="B62" s="46" t="s">
        <v>135</v>
      </c>
      <c r="C62" s="47"/>
      <c r="D62" s="47"/>
      <c r="E62" s="47">
        <f t="shared" si="10"/>
        <v>2038.853961</v>
      </c>
      <c r="F62" s="47"/>
      <c r="G62" s="47">
        <f t="shared" si="5"/>
        <v>2038.853961</v>
      </c>
      <c r="H62" s="47">
        <v>838.209161</v>
      </c>
      <c r="I62" s="47">
        <v>764.3598</v>
      </c>
      <c r="J62" s="47">
        <v>436.285</v>
      </c>
      <c r="K62" s="48"/>
      <c r="L62" s="48"/>
      <c r="M62" s="51"/>
    </row>
    <row r="63" spans="1:13" s="44" customFormat="1" ht="21" customHeight="1">
      <c r="A63" s="45" t="s">
        <v>136</v>
      </c>
      <c r="B63" s="46" t="s">
        <v>137</v>
      </c>
      <c r="C63" s="47"/>
      <c r="D63" s="47"/>
      <c r="E63" s="47">
        <f t="shared" si="10"/>
        <v>30525.913550999998</v>
      </c>
      <c r="F63" s="47">
        <v>366</v>
      </c>
      <c r="G63" s="47">
        <f t="shared" si="5"/>
        <v>30159.913550999998</v>
      </c>
      <c r="H63" s="47">
        <v>12726.143551</v>
      </c>
      <c r="I63" s="47">
        <v>17342.05</v>
      </c>
      <c r="J63" s="47">
        <v>91.72</v>
      </c>
      <c r="K63" s="48"/>
      <c r="L63" s="48"/>
      <c r="M63" s="43"/>
    </row>
    <row r="64" spans="1:13" s="44" customFormat="1" ht="21" customHeight="1">
      <c r="A64" s="41" t="s">
        <v>138</v>
      </c>
      <c r="B64" s="42" t="s">
        <v>139</v>
      </c>
      <c r="C64" s="39">
        <f>SUM(C65:C67)</f>
        <v>1330000</v>
      </c>
      <c r="D64" s="39">
        <v>1330000</v>
      </c>
      <c r="E64" s="39">
        <f t="shared" si="10"/>
        <v>1124627.159984</v>
      </c>
      <c r="F64" s="39">
        <v>1122898.122702</v>
      </c>
      <c r="G64" s="39">
        <f t="shared" si="5"/>
        <v>1729.037282</v>
      </c>
      <c r="H64" s="39">
        <v>1726.037282</v>
      </c>
      <c r="I64" s="39">
        <v>3</v>
      </c>
      <c r="J64" s="39"/>
      <c r="K64" s="40">
        <f t="shared" si="2"/>
        <v>0.8455843308150376</v>
      </c>
      <c r="L64" s="40">
        <f>E64/D64</f>
        <v>0.8455843308150376</v>
      </c>
      <c r="M64" s="43"/>
    </row>
    <row r="65" spans="1:13" s="44" customFormat="1" ht="25.5" customHeight="1">
      <c r="A65" s="45">
        <v>1</v>
      </c>
      <c r="B65" s="46" t="s">
        <v>140</v>
      </c>
      <c r="C65" s="47">
        <v>200000</v>
      </c>
      <c r="D65" s="47"/>
      <c r="E65" s="47">
        <f t="shared" si="10"/>
        <v>227620.12270199996</v>
      </c>
      <c r="F65" s="47">
        <f>F64-F66-F67</f>
        <v>227620.12270199996</v>
      </c>
      <c r="G65" s="39"/>
      <c r="H65" s="47"/>
      <c r="I65" s="47"/>
      <c r="J65" s="47"/>
      <c r="K65" s="48">
        <f t="shared" si="2"/>
        <v>1.1381006135099998</v>
      </c>
      <c r="L65" s="48"/>
      <c r="M65" s="43"/>
    </row>
    <row r="66" spans="1:13" s="44" customFormat="1" ht="21" customHeight="1">
      <c r="A66" s="45">
        <v>2</v>
      </c>
      <c r="B66" s="46" t="s">
        <v>141</v>
      </c>
      <c r="C66" s="47">
        <v>1130000</v>
      </c>
      <c r="D66" s="47"/>
      <c r="E66" s="47">
        <f t="shared" si="10"/>
        <v>893424</v>
      </c>
      <c r="F66" s="47">
        <v>893424</v>
      </c>
      <c r="G66" s="39"/>
      <c r="H66" s="47"/>
      <c r="I66" s="47"/>
      <c r="J66" s="47"/>
      <c r="K66" s="48">
        <f t="shared" si="2"/>
        <v>0.7906407079646017</v>
      </c>
      <c r="L66" s="48"/>
      <c r="M66" s="43"/>
    </row>
    <row r="67" spans="1:13" s="44" customFormat="1" ht="21" customHeight="1">
      <c r="A67" s="45">
        <v>3</v>
      </c>
      <c r="B67" s="46" t="s">
        <v>142</v>
      </c>
      <c r="C67" s="47">
        <v>0</v>
      </c>
      <c r="D67" s="47"/>
      <c r="E67" s="47">
        <v>1854</v>
      </c>
      <c r="F67" s="47">
        <v>1854</v>
      </c>
      <c r="G67" s="39"/>
      <c r="H67" s="47"/>
      <c r="I67" s="47"/>
      <c r="J67" s="47"/>
      <c r="K67" s="48"/>
      <c r="L67" s="48"/>
      <c r="M67" s="43"/>
    </row>
    <row r="68" spans="1:13" s="44" customFormat="1" ht="21" customHeight="1">
      <c r="A68" s="45">
        <v>4</v>
      </c>
      <c r="B68" s="46" t="s">
        <v>87</v>
      </c>
      <c r="C68" s="47"/>
      <c r="D68" s="47"/>
      <c r="E68" s="47">
        <v>1729</v>
      </c>
      <c r="F68" s="47"/>
      <c r="G68" s="39"/>
      <c r="H68" s="47">
        <v>1726</v>
      </c>
      <c r="I68" s="47">
        <v>3</v>
      </c>
      <c r="J68" s="47"/>
      <c r="K68" s="48"/>
      <c r="L68" s="48"/>
      <c r="M68" s="43"/>
    </row>
    <row r="69" spans="1:13" s="44" customFormat="1" ht="21" customHeight="1">
      <c r="A69" s="41" t="s">
        <v>143</v>
      </c>
      <c r="B69" s="42" t="s">
        <v>144</v>
      </c>
      <c r="C69" s="39"/>
      <c r="D69" s="39"/>
      <c r="E69" s="39">
        <f>F69+G69</f>
        <v>211746.4269</v>
      </c>
      <c r="F69" s="39"/>
      <c r="G69" s="39">
        <f t="shared" si="5"/>
        <v>211746.4269</v>
      </c>
      <c r="H69" s="39">
        <v>211746.4269</v>
      </c>
      <c r="I69" s="39"/>
      <c r="J69" s="39"/>
      <c r="K69" s="40"/>
      <c r="L69" s="40"/>
      <c r="M69" s="43"/>
    </row>
    <row r="70" spans="1:13" s="44" customFormat="1" ht="21" customHeight="1">
      <c r="A70" s="41" t="s">
        <v>145</v>
      </c>
      <c r="B70" s="42" t="s">
        <v>146</v>
      </c>
      <c r="C70" s="39"/>
      <c r="D70" s="39"/>
      <c r="E70" s="39">
        <f t="shared" si="10"/>
        <v>81149.36744</v>
      </c>
      <c r="F70" s="39"/>
      <c r="G70" s="39">
        <f t="shared" si="5"/>
        <v>81149.36744</v>
      </c>
      <c r="H70" s="39">
        <v>33093.218735</v>
      </c>
      <c r="I70" s="39">
        <v>21956.288965</v>
      </c>
      <c r="J70" s="39">
        <v>26099.85974</v>
      </c>
      <c r="K70" s="40"/>
      <c r="L70" s="40"/>
      <c r="M70" s="43"/>
    </row>
    <row r="71" spans="1:12" ht="30.75" customHeight="1">
      <c r="A71" s="37" t="s">
        <v>9</v>
      </c>
      <c r="B71" s="38" t="s">
        <v>238</v>
      </c>
      <c r="C71" s="39"/>
      <c r="D71" s="39">
        <f aca="true" t="shared" si="12" ref="D71:J71">SUM(D72:D80)</f>
        <v>598945</v>
      </c>
      <c r="E71" s="39">
        <f t="shared" si="12"/>
        <v>623368.129713</v>
      </c>
      <c r="F71" s="39"/>
      <c r="G71" s="39">
        <f t="shared" si="12"/>
        <v>623368.129713</v>
      </c>
      <c r="H71" s="39">
        <f t="shared" si="12"/>
        <v>414958.20445099997</v>
      </c>
      <c r="I71" s="39">
        <f t="shared" si="12"/>
        <v>51695.603606</v>
      </c>
      <c r="J71" s="39">
        <f t="shared" si="12"/>
        <v>156714.321656</v>
      </c>
      <c r="K71" s="40"/>
      <c r="L71" s="40">
        <f aca="true" t="shared" si="13" ref="L71:L79">E71/D71</f>
        <v>1.0407769155982602</v>
      </c>
    </row>
    <row r="72" spans="1:13" s="44" customFormat="1" ht="21" customHeight="1">
      <c r="A72" s="45">
        <v>1</v>
      </c>
      <c r="B72" s="46" t="s">
        <v>147</v>
      </c>
      <c r="C72" s="47"/>
      <c r="D72" s="47">
        <v>92690</v>
      </c>
      <c r="E72" s="47">
        <f t="shared" si="10"/>
        <v>85980.755057</v>
      </c>
      <c r="F72" s="47"/>
      <c r="G72" s="47">
        <f aca="true" t="shared" si="14" ref="G72:G87">H72+I72+J72</f>
        <v>85980.755057</v>
      </c>
      <c r="H72" s="47">
        <v>47235.361451</v>
      </c>
      <c r="I72" s="47">
        <v>38745.393606</v>
      </c>
      <c r="J72" s="47"/>
      <c r="K72" s="48"/>
      <c r="L72" s="48">
        <f t="shared" si="13"/>
        <v>0.9276163022656166</v>
      </c>
      <c r="M72" s="43"/>
    </row>
    <row r="73" spans="1:13" s="44" customFormat="1" ht="21" customHeight="1">
      <c r="A73" s="45">
        <v>2</v>
      </c>
      <c r="B73" s="46" t="s">
        <v>148</v>
      </c>
      <c r="C73" s="47"/>
      <c r="D73" s="47">
        <v>358190</v>
      </c>
      <c r="E73" s="47">
        <f t="shared" si="10"/>
        <v>358772.093</v>
      </c>
      <c r="F73" s="47"/>
      <c r="G73" s="47">
        <f t="shared" si="14"/>
        <v>358772.093</v>
      </c>
      <c r="H73" s="47">
        <v>358766.843</v>
      </c>
      <c r="I73" s="47"/>
      <c r="J73" s="47">
        <v>5.25</v>
      </c>
      <c r="K73" s="48"/>
      <c r="L73" s="48">
        <f t="shared" si="13"/>
        <v>1.001625095619643</v>
      </c>
      <c r="M73" s="43"/>
    </row>
    <row r="74" spans="1:13" s="44" customFormat="1" ht="21" customHeight="1">
      <c r="A74" s="45">
        <v>3</v>
      </c>
      <c r="B74" s="46" t="s">
        <v>149</v>
      </c>
      <c r="C74" s="47"/>
      <c r="D74" s="47">
        <v>11000</v>
      </c>
      <c r="E74" s="47">
        <f t="shared" si="10"/>
        <v>4243</v>
      </c>
      <c r="F74" s="47"/>
      <c r="G74" s="47">
        <f t="shared" si="14"/>
        <v>4243</v>
      </c>
      <c r="H74" s="47">
        <v>2776</v>
      </c>
      <c r="I74" s="47">
        <v>1467</v>
      </c>
      <c r="J74" s="47"/>
      <c r="K74" s="48"/>
      <c r="L74" s="48">
        <f t="shared" si="13"/>
        <v>0.38572727272727275</v>
      </c>
      <c r="M74" s="43"/>
    </row>
    <row r="75" spans="1:13" s="44" customFormat="1" ht="21" customHeight="1">
      <c r="A75" s="45">
        <v>4</v>
      </c>
      <c r="B75" s="54" t="s">
        <v>150</v>
      </c>
      <c r="C75" s="55"/>
      <c r="D75" s="55"/>
      <c r="E75" s="47">
        <f t="shared" si="10"/>
        <v>27441</v>
      </c>
      <c r="F75" s="55"/>
      <c r="G75" s="47">
        <f t="shared" si="14"/>
        <v>27441</v>
      </c>
      <c r="H75" s="55"/>
      <c r="I75" s="55"/>
      <c r="J75" s="55">
        <v>27441</v>
      </c>
      <c r="K75" s="48"/>
      <c r="L75" s="48"/>
      <c r="M75" s="43"/>
    </row>
    <row r="76" spans="1:13" s="44" customFormat="1" ht="24" customHeight="1">
      <c r="A76" s="45">
        <v>5</v>
      </c>
      <c r="B76" s="148" t="s">
        <v>151</v>
      </c>
      <c r="C76" s="47"/>
      <c r="D76" s="47">
        <v>70000</v>
      </c>
      <c r="E76" s="47">
        <f t="shared" si="10"/>
        <v>100674.781656</v>
      </c>
      <c r="F76" s="47"/>
      <c r="G76" s="47">
        <f t="shared" si="14"/>
        <v>100674.781656</v>
      </c>
      <c r="H76" s="47"/>
      <c r="I76" s="47">
        <v>2092.71</v>
      </c>
      <c r="J76" s="47">
        <v>98582.071656</v>
      </c>
      <c r="K76" s="48"/>
      <c r="L76" s="48">
        <f t="shared" si="13"/>
        <v>1.4382111665142858</v>
      </c>
      <c r="M76" s="43"/>
    </row>
    <row r="77" spans="1:13" s="44" customFormat="1" ht="21" customHeight="1">
      <c r="A77" s="45">
        <v>6</v>
      </c>
      <c r="B77" s="46" t="s">
        <v>152</v>
      </c>
      <c r="C77" s="47"/>
      <c r="D77" s="47">
        <f>50365+3100</f>
        <v>53465</v>
      </c>
      <c r="E77" s="47">
        <f t="shared" si="10"/>
        <v>40102</v>
      </c>
      <c r="F77" s="47"/>
      <c r="G77" s="47">
        <f t="shared" si="14"/>
        <v>40102</v>
      </c>
      <c r="H77" s="47">
        <v>27</v>
      </c>
      <c r="I77" s="47">
        <f>5068+4321</f>
        <v>9389</v>
      </c>
      <c r="J77" s="47">
        <f>22212+8474</f>
        <v>30686</v>
      </c>
      <c r="K77" s="48"/>
      <c r="L77" s="48">
        <f t="shared" si="13"/>
        <v>0.7500607874310297</v>
      </c>
      <c r="M77" s="43"/>
    </row>
    <row r="78" spans="1:13" s="44" customFormat="1" ht="21" customHeight="1">
      <c r="A78" s="45">
        <v>7</v>
      </c>
      <c r="B78" s="46" t="s">
        <v>153</v>
      </c>
      <c r="C78" s="47"/>
      <c r="D78" s="47">
        <v>6000</v>
      </c>
      <c r="E78" s="47">
        <f t="shared" si="10"/>
        <v>0</v>
      </c>
      <c r="F78" s="47"/>
      <c r="G78" s="47">
        <f t="shared" si="14"/>
        <v>0</v>
      </c>
      <c r="H78" s="47"/>
      <c r="I78" s="47"/>
      <c r="J78" s="47"/>
      <c r="K78" s="48"/>
      <c r="L78" s="48"/>
      <c r="M78" s="43"/>
    </row>
    <row r="79" spans="1:13" s="44" customFormat="1" ht="21" customHeight="1">
      <c r="A79" s="45">
        <v>8</v>
      </c>
      <c r="B79" s="46" t="s">
        <v>154</v>
      </c>
      <c r="C79" s="47"/>
      <c r="D79" s="47">
        <v>7000</v>
      </c>
      <c r="E79" s="47">
        <f t="shared" si="10"/>
        <v>6154.5</v>
      </c>
      <c r="F79" s="47"/>
      <c r="G79" s="47">
        <f t="shared" si="14"/>
        <v>6154.5</v>
      </c>
      <c r="H79" s="47">
        <f>6153</f>
        <v>6153</v>
      </c>
      <c r="I79" s="47">
        <v>1.5</v>
      </c>
      <c r="J79" s="47"/>
      <c r="K79" s="48"/>
      <c r="L79" s="48">
        <f t="shared" si="13"/>
        <v>0.8792142857142857</v>
      </c>
      <c r="M79" s="43"/>
    </row>
    <row r="80" spans="1:13" s="44" customFormat="1" ht="21" customHeight="1">
      <c r="A80" s="45">
        <v>9</v>
      </c>
      <c r="B80" s="46" t="s">
        <v>155</v>
      </c>
      <c r="C80" s="47"/>
      <c r="D80" s="47">
        <v>600</v>
      </c>
      <c r="E80" s="47">
        <f t="shared" si="10"/>
        <v>0</v>
      </c>
      <c r="F80" s="47"/>
      <c r="G80" s="47"/>
      <c r="H80" s="47"/>
      <c r="I80" s="47"/>
      <c r="J80" s="47"/>
      <c r="K80" s="48"/>
      <c r="L80" s="48"/>
      <c r="M80" s="43"/>
    </row>
    <row r="81" spans="1:13" s="61" customFormat="1" ht="21" customHeight="1">
      <c r="A81" s="56" t="s">
        <v>156</v>
      </c>
      <c r="B81" s="57" t="s">
        <v>157</v>
      </c>
      <c r="C81" s="58"/>
      <c r="D81" s="58"/>
      <c r="E81" s="58">
        <f t="shared" si="10"/>
        <v>4232747.236413</v>
      </c>
      <c r="F81" s="58"/>
      <c r="G81" s="58">
        <f t="shared" si="14"/>
        <v>4232747.236413</v>
      </c>
      <c r="H81" s="58">
        <v>3749541.764626</v>
      </c>
      <c r="I81" s="58">
        <v>348363.284902</v>
      </c>
      <c r="J81" s="58">
        <v>134842.186885</v>
      </c>
      <c r="K81" s="59"/>
      <c r="L81" s="59"/>
      <c r="M81" s="60"/>
    </row>
    <row r="82" spans="1:12" ht="21" customHeight="1">
      <c r="A82" s="56" t="s">
        <v>158</v>
      </c>
      <c r="B82" s="38" t="s">
        <v>159</v>
      </c>
      <c r="C82" s="58">
        <f>C83+C84</f>
        <v>6298820</v>
      </c>
      <c r="D82" s="58">
        <f>D83+D84</f>
        <v>6298820</v>
      </c>
      <c r="E82" s="58">
        <f t="shared" si="10"/>
        <v>13207283.495716</v>
      </c>
      <c r="F82" s="58"/>
      <c r="G82" s="58">
        <f t="shared" si="14"/>
        <v>13207283.495716</v>
      </c>
      <c r="H82" s="58">
        <f>H83+H84</f>
        <v>6830763.058875</v>
      </c>
      <c r="I82" s="58">
        <f>I83+I84</f>
        <v>4398766.525524</v>
      </c>
      <c r="J82" s="58">
        <f>J83+J84</f>
        <v>1977753.9113170002</v>
      </c>
      <c r="K82" s="59">
        <f>H82/D82</f>
        <v>1.0844512240189432</v>
      </c>
      <c r="L82" s="59">
        <f>H82/D82</f>
        <v>1.0844512240189432</v>
      </c>
    </row>
    <row r="83" spans="1:13" s="44" customFormat="1" ht="21" customHeight="1">
      <c r="A83" s="45">
        <v>1</v>
      </c>
      <c r="B83" s="46" t="s">
        <v>160</v>
      </c>
      <c r="C83" s="47">
        <v>4114164</v>
      </c>
      <c r="D83" s="47">
        <v>4114164</v>
      </c>
      <c r="E83" s="47">
        <f t="shared" si="10"/>
        <v>7485286.403</v>
      </c>
      <c r="F83" s="47"/>
      <c r="G83" s="47">
        <f t="shared" si="14"/>
        <v>7485286.403</v>
      </c>
      <c r="H83" s="47">
        <v>4114165</v>
      </c>
      <c r="I83" s="47">
        <v>2595681</v>
      </c>
      <c r="J83" s="47">
        <v>775440.403</v>
      </c>
      <c r="K83" s="48">
        <f>H83/D83</f>
        <v>1.0000002430627462</v>
      </c>
      <c r="L83" s="48">
        <f>H83/D83</f>
        <v>1.0000002430627462</v>
      </c>
      <c r="M83" s="43"/>
    </row>
    <row r="84" spans="1:13" s="44" customFormat="1" ht="21" customHeight="1">
      <c r="A84" s="45">
        <v>2</v>
      </c>
      <c r="B84" s="46" t="s">
        <v>161</v>
      </c>
      <c r="C84" s="47">
        <v>2184656</v>
      </c>
      <c r="D84" s="47">
        <f>D85+D86</f>
        <v>2184656</v>
      </c>
      <c r="E84" s="47">
        <f t="shared" si="10"/>
        <v>5721997.092716</v>
      </c>
      <c r="F84" s="47"/>
      <c r="G84" s="47">
        <f t="shared" si="14"/>
        <v>5721997.092716</v>
      </c>
      <c r="H84" s="47">
        <f>H85+H86</f>
        <v>2716598.058875</v>
      </c>
      <c r="I84" s="47">
        <f>I85+I86</f>
        <v>1803085.525524</v>
      </c>
      <c r="J84" s="47">
        <f>J85+J86</f>
        <v>1202313.508317</v>
      </c>
      <c r="K84" s="48">
        <f>H84/C84</f>
        <v>1.2434900775568327</v>
      </c>
      <c r="L84" s="48">
        <f>H84/D84</f>
        <v>1.2434900775568327</v>
      </c>
      <c r="M84" s="43"/>
    </row>
    <row r="85" spans="1:13" s="44" customFormat="1" ht="21" customHeight="1">
      <c r="A85" s="62" t="s">
        <v>78</v>
      </c>
      <c r="B85" s="54" t="s">
        <v>162</v>
      </c>
      <c r="C85" s="55"/>
      <c r="D85" s="55">
        <v>1973656</v>
      </c>
      <c r="E85" s="47">
        <f t="shared" si="10"/>
        <v>5550852.033841</v>
      </c>
      <c r="F85" s="47"/>
      <c r="G85" s="47">
        <f t="shared" si="14"/>
        <v>5550852.033841</v>
      </c>
      <c r="H85" s="47">
        <v>2545453</v>
      </c>
      <c r="I85" s="47">
        <v>1803085.525524</v>
      </c>
      <c r="J85" s="47">
        <v>1202313.508317</v>
      </c>
      <c r="K85" s="48"/>
      <c r="L85" s="48"/>
      <c r="M85" s="43"/>
    </row>
    <row r="86" spans="1:13" s="44" customFormat="1" ht="21" customHeight="1">
      <c r="A86" s="62" t="s">
        <v>79</v>
      </c>
      <c r="B86" s="54" t="s">
        <v>163</v>
      </c>
      <c r="C86" s="55"/>
      <c r="D86" s="55">
        <v>211000</v>
      </c>
      <c r="E86" s="47">
        <f t="shared" si="10"/>
        <v>171145.058875</v>
      </c>
      <c r="F86" s="47"/>
      <c r="G86" s="47">
        <f t="shared" si="14"/>
        <v>171145.058875</v>
      </c>
      <c r="H86" s="47">
        <v>171145.058875</v>
      </c>
      <c r="I86" s="47"/>
      <c r="J86" s="47"/>
      <c r="K86" s="48"/>
      <c r="L86" s="48"/>
      <c r="M86" s="43"/>
    </row>
    <row r="87" spans="1:12" ht="21" customHeight="1">
      <c r="A87" s="63" t="s">
        <v>164</v>
      </c>
      <c r="B87" s="64" t="s">
        <v>165</v>
      </c>
      <c r="C87" s="65"/>
      <c r="D87" s="65"/>
      <c r="E87" s="65">
        <f t="shared" si="10"/>
        <v>1170.952</v>
      </c>
      <c r="F87" s="65"/>
      <c r="G87" s="65">
        <f t="shared" si="14"/>
        <v>1170.952</v>
      </c>
      <c r="H87" s="65"/>
      <c r="I87" s="65">
        <v>1170.952</v>
      </c>
      <c r="J87" s="65"/>
      <c r="K87" s="66"/>
      <c r="L87" s="66"/>
    </row>
    <row r="88" ht="18" customHeight="1"/>
    <row r="90" ht="12.75" hidden="1">
      <c r="E90" s="60">
        <f>E13+E64+E69+E70+E71/D13+D64+D69+D70+D71</f>
        <v>7525289.905351122</v>
      </c>
    </row>
    <row r="91" ht="12.75" hidden="1">
      <c r="E91" s="60">
        <f>E13+E64+E69+E70+E71+E81+E82+E87</f>
        <v>23660914.569453</v>
      </c>
    </row>
    <row r="92" ht="12.75" hidden="1">
      <c r="H92" s="21">
        <f>I82+J82+E87</f>
        <v>6377691.388840999</v>
      </c>
    </row>
    <row r="93" ht="12.75" hidden="1"/>
    <row r="94" ht="12.75" hidden="1"/>
    <row r="95" spans="2:10" ht="12.75" hidden="1">
      <c r="B95" s="61" t="s">
        <v>166</v>
      </c>
      <c r="H95" s="60">
        <f>H39+H40+H47+H49+H50</f>
        <v>423125.001453</v>
      </c>
      <c r="I95" s="60">
        <f>I39+I40+I47+I49+I50</f>
        <v>24941.659213</v>
      </c>
      <c r="J95" s="60">
        <f>J39+J40+J47+J49+J50</f>
        <v>24947</v>
      </c>
    </row>
    <row r="96" spans="2:10" ht="12.75" hidden="1">
      <c r="B96" s="61" t="s">
        <v>167</v>
      </c>
      <c r="H96" s="60">
        <f>H13-H95</f>
        <v>2708835.093229</v>
      </c>
      <c r="I96" s="60">
        <f>I13-I95</f>
        <v>554201.086153</v>
      </c>
      <c r="J96" s="60">
        <f>J13-J95</f>
        <v>416675.43552099995</v>
      </c>
    </row>
    <row r="97" ht="12.75" hidden="1"/>
    <row r="98" ht="12.75" hidden="1"/>
    <row r="99" spans="7:10" ht="12.75" hidden="1">
      <c r="G99" s="21">
        <f>G13+G69+G70+G81+G82+G87+G71</f>
        <v>22510190.883750997</v>
      </c>
      <c r="H99" s="21">
        <f>H13+H69+H70+H81+H82+H87+H71</f>
        <v>14372062.768269</v>
      </c>
      <c r="I99" s="21">
        <f>I13+I69+I70+I81+I82+I87+I71</f>
        <v>5401095.400362999</v>
      </c>
      <c r="J99" s="21">
        <f>J13+J69+J70+J81+J82+J87+J71</f>
        <v>2737032.715119</v>
      </c>
    </row>
    <row r="100" ht="12.75" hidden="1"/>
    <row r="101" ht="12.75" hidden="1"/>
    <row r="102" spans="8:10" ht="12.75" hidden="1">
      <c r="H102" s="21" t="e">
        <f>H14+H22+H30+H37+#REF!+H38+H39+H40+H45+H50+H51+H57</f>
        <v>#REF!</v>
      </c>
      <c r="I102" s="21" t="e">
        <f>I14+I22+I30+I37+#REF!+I38+I39+I40+I45+I50+I51+I57</f>
        <v>#REF!</v>
      </c>
      <c r="J102" s="21" t="e">
        <f>J14+J22+J30+J37+#REF!+J38+J39+J40+J45+J50+J51+J57</f>
        <v>#REF!</v>
      </c>
    </row>
    <row r="103" spans="8:10" ht="12.75" hidden="1">
      <c r="H103" s="67">
        <f>H13+H64+H69+H70</f>
        <v>3378525.777599</v>
      </c>
      <c r="I103" s="67">
        <f>I13+I64+I69+I70</f>
        <v>601102.034331</v>
      </c>
      <c r="J103" s="67">
        <f>J13+J64+J69+J70</f>
        <v>467722.29526099993</v>
      </c>
    </row>
    <row r="104" spans="7:10" ht="12.75" hidden="1">
      <c r="G104" s="21">
        <f>H104+I104+J104</f>
        <v>22511919.921033</v>
      </c>
      <c r="H104" s="21">
        <f>H12+H71+H81+H82+H87</f>
        <v>14373788.805551</v>
      </c>
      <c r="I104" s="21">
        <f>I12+I71+I81+I82+I87</f>
        <v>5401098.400362999</v>
      </c>
      <c r="J104" s="21">
        <f>J12+J71+J81+J82+J87</f>
        <v>2737032.715119</v>
      </c>
    </row>
    <row r="105" ht="12.75" hidden="1"/>
    <row r="106" spans="8:10" ht="12.75" hidden="1">
      <c r="H106" s="21">
        <v>14373787</v>
      </c>
      <c r="I106" s="21">
        <v>5390177</v>
      </c>
      <c r="J106" s="21">
        <v>2737033</v>
      </c>
    </row>
    <row r="107" ht="12.75" hidden="1"/>
    <row r="108" spans="8:10" ht="12.75" hidden="1">
      <c r="H108" s="21">
        <f>H104-H106</f>
        <v>1.8055509999394417</v>
      </c>
      <c r="I108" s="21">
        <f>I104-I106</f>
        <v>10921.400362999178</v>
      </c>
      <c r="J108" s="21">
        <f>J104-J106</f>
        <v>-0.28488099994137883</v>
      </c>
    </row>
    <row r="109" ht="12.75" hidden="1">
      <c r="I109" s="21">
        <f>H108+I108</f>
        <v>10923.205913999118</v>
      </c>
    </row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</sheetData>
  <sheetProtection/>
  <mergeCells count="21">
    <mergeCell ref="G8:G9"/>
    <mergeCell ref="A7:A9"/>
    <mergeCell ref="A1:D1"/>
    <mergeCell ref="A2:D2"/>
    <mergeCell ref="E1:L1"/>
    <mergeCell ref="E2:L2"/>
    <mergeCell ref="C7:D7"/>
    <mergeCell ref="E7:E9"/>
    <mergeCell ref="K6:L6"/>
    <mergeCell ref="D8:D9"/>
    <mergeCell ref="F8:F9"/>
    <mergeCell ref="B7:B9"/>
    <mergeCell ref="H8:J8"/>
    <mergeCell ref="A4:L4"/>
    <mergeCell ref="A3:L3"/>
    <mergeCell ref="K8:K9"/>
    <mergeCell ref="L8:L9"/>
    <mergeCell ref="A5:L5"/>
    <mergeCell ref="F7:J7"/>
    <mergeCell ref="K7:L7"/>
    <mergeCell ref="C8:C9"/>
  </mergeCells>
  <printOptions horizontalCentered="1"/>
  <pageMargins left="0" right="0" top="0.75" bottom="0.75" header="0.5" footer="0.2"/>
  <pageSetup horizontalDpi="600" verticalDpi="600" orientation="landscape" paperSize="9" scale="93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34">
      <selection activeCell="C51" sqref="C51"/>
    </sheetView>
  </sheetViews>
  <sheetFormatPr defaultColWidth="8.83203125" defaultRowHeight="18"/>
  <cols>
    <col min="1" max="1" width="3.08203125" style="68" customWidth="1"/>
    <col min="2" max="2" width="26.91015625" style="68" customWidth="1"/>
    <col min="3" max="3" width="7.16015625" style="68" customWidth="1"/>
    <col min="4" max="5" width="7.75" style="68" customWidth="1"/>
    <col min="6" max="6" width="7.33203125" style="68" customWidth="1"/>
    <col min="7" max="7" width="7.25" style="68" customWidth="1"/>
    <col min="8" max="8" width="7.83203125" style="68" customWidth="1"/>
    <col min="9" max="9" width="7.75" style="68" customWidth="1"/>
    <col min="10" max="10" width="7.16015625" style="68" customWidth="1"/>
    <col min="11" max="11" width="7.08203125" style="68" customWidth="1"/>
    <col min="12" max="12" width="5.83203125" style="68" customWidth="1"/>
    <col min="13" max="13" width="6.08203125" style="68" customWidth="1"/>
    <col min="14" max="16384" width="8.83203125" style="68" customWidth="1"/>
  </cols>
  <sheetData>
    <row r="1" spans="1:13" ht="18.75">
      <c r="A1" s="131" t="s">
        <v>239</v>
      </c>
      <c r="B1" s="131"/>
      <c r="C1" s="131"/>
      <c r="D1" s="131"/>
      <c r="E1" s="131" t="s">
        <v>240</v>
      </c>
      <c r="F1" s="131"/>
      <c r="G1" s="131"/>
      <c r="H1" s="131"/>
      <c r="I1" s="131"/>
      <c r="J1" s="131"/>
      <c r="K1" s="131"/>
      <c r="L1" s="131"/>
      <c r="M1" s="131"/>
    </row>
    <row r="2" spans="1:13" ht="18.75">
      <c r="A2" s="132" t="s">
        <v>242</v>
      </c>
      <c r="B2" s="132"/>
      <c r="C2" s="132"/>
      <c r="D2" s="132"/>
      <c r="E2" s="132" t="s">
        <v>241</v>
      </c>
      <c r="F2" s="132"/>
      <c r="G2" s="132"/>
      <c r="H2" s="132"/>
      <c r="I2" s="132"/>
      <c r="J2" s="132"/>
      <c r="K2" s="132"/>
      <c r="L2" s="132"/>
      <c r="M2" s="132"/>
    </row>
    <row r="3" spans="5:13" s="101" customFormat="1" ht="18.75">
      <c r="E3" s="102" t="s">
        <v>236</v>
      </c>
      <c r="K3" s="141"/>
      <c r="L3" s="141"/>
      <c r="M3" s="141"/>
    </row>
    <row r="4" spans="1:13" ht="21.75" customHeight="1">
      <c r="A4" s="109" t="s">
        <v>168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s="101" customFormat="1" ht="16.5" customHeight="1">
      <c r="A5" s="127" t="s">
        <v>243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23.25" customHeight="1">
      <c r="A6" s="69"/>
      <c r="B6" s="70"/>
      <c r="C6" s="71"/>
      <c r="D6" s="72"/>
      <c r="E6" s="72"/>
      <c r="F6" s="72"/>
      <c r="G6" s="72"/>
      <c r="H6" s="72"/>
      <c r="I6" s="72"/>
      <c r="J6" s="72"/>
      <c r="K6" s="145" t="s">
        <v>169</v>
      </c>
      <c r="L6" s="145"/>
      <c r="M6" s="145"/>
    </row>
    <row r="7" spans="1:13" s="73" customFormat="1" ht="24.75" customHeight="1">
      <c r="A7" s="115" t="s">
        <v>170</v>
      </c>
      <c r="B7" s="115" t="s">
        <v>171</v>
      </c>
      <c r="C7" s="115" t="s">
        <v>172</v>
      </c>
      <c r="D7" s="142" t="s">
        <v>173</v>
      </c>
      <c r="E7" s="143"/>
      <c r="F7" s="143"/>
      <c r="G7" s="144"/>
      <c r="H7" s="142" t="s">
        <v>174</v>
      </c>
      <c r="I7" s="143"/>
      <c r="J7" s="143"/>
      <c r="K7" s="144"/>
      <c r="L7" s="105" t="s">
        <v>175</v>
      </c>
      <c r="M7" s="105"/>
    </row>
    <row r="8" spans="1:13" s="73" customFormat="1" ht="24.75" customHeight="1">
      <c r="A8" s="147"/>
      <c r="B8" s="147"/>
      <c r="C8" s="147" t="s">
        <v>176</v>
      </c>
      <c r="D8" s="115" t="s">
        <v>177</v>
      </c>
      <c r="E8" s="115" t="s">
        <v>178</v>
      </c>
      <c r="F8" s="115" t="s">
        <v>179</v>
      </c>
      <c r="G8" s="115" t="s">
        <v>180</v>
      </c>
      <c r="H8" s="115" t="s">
        <v>181</v>
      </c>
      <c r="I8" s="115" t="s">
        <v>178</v>
      </c>
      <c r="J8" s="115" t="s">
        <v>182</v>
      </c>
      <c r="K8" s="115" t="s">
        <v>183</v>
      </c>
      <c r="L8" s="115" t="s">
        <v>184</v>
      </c>
      <c r="M8" s="115" t="s">
        <v>185</v>
      </c>
    </row>
    <row r="9" spans="1:13" s="73" customFormat="1" ht="21.75" customHeight="1">
      <c r="A9" s="146"/>
      <c r="B9" s="146"/>
      <c r="C9" s="146" t="s">
        <v>186</v>
      </c>
      <c r="D9" s="146"/>
      <c r="E9" s="146"/>
      <c r="F9" s="146"/>
      <c r="G9" s="146"/>
      <c r="H9" s="146"/>
      <c r="I9" s="146"/>
      <c r="J9" s="146"/>
      <c r="K9" s="146"/>
      <c r="L9" s="146" t="s">
        <v>187</v>
      </c>
      <c r="M9" s="146" t="s">
        <v>188</v>
      </c>
    </row>
    <row r="10" spans="1:13" s="73" customFormat="1" ht="24.75" customHeight="1">
      <c r="A10" s="74">
        <v>1</v>
      </c>
      <c r="B10" s="74">
        <v>2</v>
      </c>
      <c r="C10" s="74">
        <v>3</v>
      </c>
      <c r="D10" s="75" t="s">
        <v>189</v>
      </c>
      <c r="E10" s="74">
        <v>5</v>
      </c>
      <c r="F10" s="74">
        <v>6</v>
      </c>
      <c r="G10" s="74">
        <v>7</v>
      </c>
      <c r="H10" s="75" t="s">
        <v>190</v>
      </c>
      <c r="I10" s="74">
        <v>9</v>
      </c>
      <c r="J10" s="74">
        <v>10</v>
      </c>
      <c r="K10" s="74">
        <v>11</v>
      </c>
      <c r="L10" s="74" t="s">
        <v>191</v>
      </c>
      <c r="M10" s="74" t="s">
        <v>192</v>
      </c>
    </row>
    <row r="11" spans="1:13" s="73" customFormat="1" ht="30" customHeight="1">
      <c r="A11" s="76"/>
      <c r="B11" s="77" t="s">
        <v>193</v>
      </c>
      <c r="C11" s="78">
        <f>C12+C40</f>
        <v>9134566</v>
      </c>
      <c r="D11" s="79">
        <f>E11+F11+G11</f>
        <v>11031765</v>
      </c>
      <c r="E11" s="78">
        <f>E12+E40</f>
        <v>7307794</v>
      </c>
      <c r="F11" s="78">
        <f>F12+F40</f>
        <v>2456502</v>
      </c>
      <c r="G11" s="78">
        <f>G12+G40</f>
        <v>1267469</v>
      </c>
      <c r="H11" s="78">
        <f>I11+J11+K11</f>
        <v>15938268</v>
      </c>
      <c r="I11" s="78">
        <f>I12+I40</f>
        <v>9848664</v>
      </c>
      <c r="J11" s="78">
        <f>J12+J40</f>
        <v>3395025</v>
      </c>
      <c r="K11" s="78">
        <f>K12+K40</f>
        <v>2694579</v>
      </c>
      <c r="L11" s="80">
        <f>H11/C11</f>
        <v>1.7448303509986134</v>
      </c>
      <c r="M11" s="80">
        <f>H11/D11</f>
        <v>1.4447613777124513</v>
      </c>
    </row>
    <row r="12" spans="1:13" s="73" customFormat="1" ht="30" customHeight="1">
      <c r="A12" s="77" t="s">
        <v>60</v>
      </c>
      <c r="B12" s="81" t="s">
        <v>194</v>
      </c>
      <c r="C12" s="79">
        <f>C13+C20+C34+C35+C36+C37+C38+C39</f>
        <v>9134566</v>
      </c>
      <c r="D12" s="79">
        <f>E12+F12+G12</f>
        <v>10439820</v>
      </c>
      <c r="E12" s="79">
        <f>E13+E20+E34+E35+E36+E37+E38+E39</f>
        <v>6872444</v>
      </c>
      <c r="F12" s="79">
        <f>F13+F20+F34+F35+F36+F37+F38+F39</f>
        <v>2406907</v>
      </c>
      <c r="G12" s="79">
        <f>G13+G20+G34+G35+G36+G37+G38+G39</f>
        <v>1160469</v>
      </c>
      <c r="H12" s="78">
        <f>I12+J12+K12</f>
        <v>15314900</v>
      </c>
      <c r="I12" s="79">
        <f>I13+I20+I34+I35+I36+I37+I38+I39</f>
        <v>9433706</v>
      </c>
      <c r="J12" s="79">
        <f>J13+J20+J34+J35+J36+J37+J38+J39</f>
        <v>3343329</v>
      </c>
      <c r="K12" s="79">
        <f>K13+K20+K34+K35+K36+K37+K38+K39</f>
        <v>2537865</v>
      </c>
      <c r="L12" s="80">
        <f>H12/C12</f>
        <v>1.6765875904777523</v>
      </c>
      <c r="M12" s="80">
        <f aca="true" t="shared" si="0" ref="M12:M45">H12/D12</f>
        <v>1.4669697370261172</v>
      </c>
    </row>
    <row r="13" spans="1:13" s="73" customFormat="1" ht="30" customHeight="1">
      <c r="A13" s="77">
        <v>1</v>
      </c>
      <c r="B13" s="82" t="s">
        <v>195</v>
      </c>
      <c r="C13" s="83">
        <f>1261315+238600+717000</f>
        <v>2216915</v>
      </c>
      <c r="D13" s="83">
        <f aca="true" t="shared" si="1" ref="D13:D19">E13+F13+G13</f>
        <v>2538577</v>
      </c>
      <c r="E13" s="83">
        <f>E14+E17+E18+E19</f>
        <v>2131415</v>
      </c>
      <c r="F13" s="83">
        <f>F14+F17+F18+F19</f>
        <v>211762</v>
      </c>
      <c r="G13" s="83">
        <f>G14+G17+G18+G19</f>
        <v>195400</v>
      </c>
      <c r="H13" s="78">
        <f aca="true" t="shared" si="2" ref="H13:H45">I13+J13+K13</f>
        <v>3523709</v>
      </c>
      <c r="I13" s="83">
        <f>SUM(I14,I17:I19)</f>
        <v>2431023</v>
      </c>
      <c r="J13" s="83">
        <f>SUM(J14,J17:J19)</f>
        <v>270152</v>
      </c>
      <c r="K13" s="83">
        <f>SUM(K14,K17:K19)</f>
        <v>822534</v>
      </c>
      <c r="L13" s="80">
        <f>H13/C13</f>
        <v>1.5894650900011953</v>
      </c>
      <c r="M13" s="80">
        <f t="shared" si="0"/>
        <v>1.388064651968406</v>
      </c>
    </row>
    <row r="14" spans="1:13" s="73" customFormat="1" ht="30" customHeight="1">
      <c r="A14" s="76" t="s">
        <v>63</v>
      </c>
      <c r="B14" s="85" t="s">
        <v>196</v>
      </c>
      <c r="C14" s="86"/>
      <c r="D14" s="86">
        <f t="shared" si="1"/>
        <v>1746435</v>
      </c>
      <c r="E14" s="86">
        <f>E15+E16</f>
        <v>1746435</v>
      </c>
      <c r="F14" s="86">
        <f>F15+F16</f>
        <v>0</v>
      </c>
      <c r="G14" s="86">
        <f>G15+G16</f>
        <v>0</v>
      </c>
      <c r="H14" s="87">
        <f t="shared" si="2"/>
        <v>2702726</v>
      </c>
      <c r="I14" s="86">
        <f>I15+I16</f>
        <v>2018471</v>
      </c>
      <c r="J14" s="86">
        <f>J15+J16</f>
        <v>90699</v>
      </c>
      <c r="K14" s="86">
        <f>K15+K16</f>
        <v>593556</v>
      </c>
      <c r="L14" s="80"/>
      <c r="M14" s="88">
        <f t="shared" si="0"/>
        <v>1.5475674731667655</v>
      </c>
    </row>
    <row r="15" spans="1:13" s="73" customFormat="1" ht="30" customHeight="1">
      <c r="A15" s="74"/>
      <c r="B15" s="89" t="s">
        <v>197</v>
      </c>
      <c r="C15" s="90"/>
      <c r="D15" s="90">
        <f t="shared" si="1"/>
        <v>220120</v>
      </c>
      <c r="E15" s="90">
        <f>238600-18480</f>
        <v>220120</v>
      </c>
      <c r="F15" s="90"/>
      <c r="G15" s="90"/>
      <c r="H15" s="91">
        <f>I15+J15+K15</f>
        <v>213516</v>
      </c>
      <c r="I15" s="90">
        <v>213516</v>
      </c>
      <c r="J15" s="90"/>
      <c r="K15" s="90"/>
      <c r="L15" s="80"/>
      <c r="M15" s="92">
        <f t="shared" si="0"/>
        <v>0.9699981828093767</v>
      </c>
    </row>
    <row r="16" spans="1:13" s="73" customFormat="1" ht="30" customHeight="1">
      <c r="A16" s="74"/>
      <c r="B16" s="89" t="s">
        <v>198</v>
      </c>
      <c r="C16" s="90"/>
      <c r="D16" s="90">
        <f t="shared" si="1"/>
        <v>1526315</v>
      </c>
      <c r="E16" s="90">
        <f>149000+55000+1112315+95000+5000+5000+5000+5000+20000+13000+62000</f>
        <v>1526315</v>
      </c>
      <c r="F16" s="90"/>
      <c r="G16" s="90"/>
      <c r="H16" s="91">
        <f t="shared" si="2"/>
        <v>2489210</v>
      </c>
      <c r="I16" s="90">
        <v>1804955</v>
      </c>
      <c r="J16" s="90">
        <v>90699</v>
      </c>
      <c r="K16" s="90">
        <v>593556</v>
      </c>
      <c r="L16" s="80"/>
      <c r="M16" s="92">
        <f t="shared" si="0"/>
        <v>1.630862567687535</v>
      </c>
    </row>
    <row r="17" spans="1:13" s="73" customFormat="1" ht="30" customHeight="1">
      <c r="A17" s="76" t="s">
        <v>65</v>
      </c>
      <c r="B17" s="85" t="s">
        <v>199</v>
      </c>
      <c r="C17" s="86"/>
      <c r="D17" s="86">
        <f t="shared" si="1"/>
        <v>2000</v>
      </c>
      <c r="E17" s="86">
        <v>2000</v>
      </c>
      <c r="F17" s="86"/>
      <c r="G17" s="86"/>
      <c r="H17" s="87">
        <f t="shared" si="2"/>
        <v>2000</v>
      </c>
      <c r="I17" s="86">
        <v>2000</v>
      </c>
      <c r="J17" s="86"/>
      <c r="K17" s="86"/>
      <c r="L17" s="80"/>
      <c r="M17" s="88">
        <f t="shared" si="0"/>
        <v>1</v>
      </c>
    </row>
    <row r="18" spans="1:13" s="73" customFormat="1" ht="30" customHeight="1">
      <c r="A18" s="76" t="s">
        <v>67</v>
      </c>
      <c r="B18" s="85" t="s">
        <v>200</v>
      </c>
      <c r="C18" s="86"/>
      <c r="D18" s="86">
        <f t="shared" si="1"/>
        <v>740542</v>
      </c>
      <c r="E18" s="86">
        <v>364500</v>
      </c>
      <c r="F18" s="86">
        <f>211762-31120</f>
        <v>180642</v>
      </c>
      <c r="G18" s="86">
        <v>195400</v>
      </c>
      <c r="H18" s="87">
        <f t="shared" si="2"/>
        <v>559077</v>
      </c>
      <c r="I18" s="86">
        <v>150646</v>
      </c>
      <c r="J18" s="86">
        <v>179453</v>
      </c>
      <c r="K18" s="86">
        <v>228978</v>
      </c>
      <c r="L18" s="80"/>
      <c r="M18" s="88">
        <f t="shared" si="0"/>
        <v>0.7549565048302459</v>
      </c>
    </row>
    <row r="19" spans="1:13" s="73" customFormat="1" ht="30" customHeight="1">
      <c r="A19" s="76" t="s">
        <v>69</v>
      </c>
      <c r="B19" s="85" t="s">
        <v>201</v>
      </c>
      <c r="C19" s="86"/>
      <c r="D19" s="86">
        <f t="shared" si="1"/>
        <v>49600</v>
      </c>
      <c r="E19" s="86">
        <v>18480</v>
      </c>
      <c r="F19" s="86">
        <v>31120</v>
      </c>
      <c r="G19" s="86"/>
      <c r="H19" s="87">
        <f t="shared" si="2"/>
        <v>259906</v>
      </c>
      <c r="I19" s="86">
        <v>259906</v>
      </c>
      <c r="J19" s="86"/>
      <c r="K19" s="86"/>
      <c r="L19" s="80"/>
      <c r="M19" s="88"/>
    </row>
    <row r="20" spans="1:13" s="73" customFormat="1" ht="30" customHeight="1">
      <c r="A20" s="77">
        <v>2</v>
      </c>
      <c r="B20" s="82" t="s">
        <v>202</v>
      </c>
      <c r="C20" s="83">
        <f>5800060+524450</f>
        <v>6324510</v>
      </c>
      <c r="D20" s="83">
        <f>E20+F20+G20</f>
        <v>6534638</v>
      </c>
      <c r="E20" s="83">
        <f>E21+E22+E23+E24+E25+E26+E27+E28+E29+E30+E31+E32+E33</f>
        <v>3462079</v>
      </c>
      <c r="F20" s="83">
        <f>F21+F22+F23+F24+F25+F26+F27+F28+F29+F30+F31+F32+F33</f>
        <v>2139666</v>
      </c>
      <c r="G20" s="83">
        <f>G21+G22+G23+G24+G25+G26+G27+G28+G29+G30+G31+G32+G33</f>
        <v>932893</v>
      </c>
      <c r="H20" s="78">
        <f t="shared" si="2"/>
        <v>7052206</v>
      </c>
      <c r="I20" s="83">
        <f>SUM(I21:I33)</f>
        <v>2777808</v>
      </c>
      <c r="J20" s="83">
        <f>SUM(J21:J33)</f>
        <v>2724770</v>
      </c>
      <c r="K20" s="83">
        <f>SUM(K21:K33)</f>
        <v>1549628</v>
      </c>
      <c r="L20" s="80">
        <f>H20/C20</f>
        <v>1.115059664701297</v>
      </c>
      <c r="M20" s="80">
        <f t="shared" si="0"/>
        <v>1.0792037753277228</v>
      </c>
    </row>
    <row r="21" spans="1:13" s="73" customFormat="1" ht="30" customHeight="1">
      <c r="A21" s="76" t="s">
        <v>78</v>
      </c>
      <c r="B21" s="85" t="s">
        <v>203</v>
      </c>
      <c r="C21" s="86"/>
      <c r="D21" s="86">
        <f>E21+F21+G21</f>
        <v>1142366</v>
      </c>
      <c r="E21" s="86">
        <f>276037+10000+6500+45000+15000+6500+579500+5000-100+26615-15380</f>
        <v>954672</v>
      </c>
      <c r="F21" s="86">
        <f>127374+5000+13400</f>
        <v>145774</v>
      </c>
      <c r="G21" s="86">
        <f>39940+1980</f>
        <v>41920</v>
      </c>
      <c r="H21" s="87">
        <f>I21+J21+K21</f>
        <v>1076187</v>
      </c>
      <c r="I21" s="86">
        <v>696252</v>
      </c>
      <c r="J21" s="86">
        <v>165467</v>
      </c>
      <c r="K21" s="86">
        <v>214468</v>
      </c>
      <c r="L21" s="80"/>
      <c r="M21" s="88">
        <f t="shared" si="0"/>
        <v>0.9420684789288196</v>
      </c>
    </row>
    <row r="22" spans="1:13" s="73" customFormat="1" ht="30" customHeight="1">
      <c r="A22" s="76" t="s">
        <v>79</v>
      </c>
      <c r="B22" s="85" t="s">
        <v>204</v>
      </c>
      <c r="C22" s="86"/>
      <c r="D22" s="86">
        <f aca="true" t="shared" si="3" ref="D22:D33">E22+F22+G22</f>
        <v>44740</v>
      </c>
      <c r="E22" s="86">
        <f>13500+18000-1000</f>
        <v>30500</v>
      </c>
      <c r="F22" s="86">
        <f>15240-1000</f>
        <v>14240</v>
      </c>
      <c r="G22" s="86">
        <f>1000-1000</f>
        <v>0</v>
      </c>
      <c r="H22" s="87">
        <f t="shared" si="2"/>
        <v>49974</v>
      </c>
      <c r="I22" s="86">
        <v>31950</v>
      </c>
      <c r="J22" s="86">
        <v>16757</v>
      </c>
      <c r="K22" s="86">
        <v>1267</v>
      </c>
      <c r="L22" s="80"/>
      <c r="M22" s="88">
        <f t="shared" si="0"/>
        <v>1.1169870362092087</v>
      </c>
    </row>
    <row r="23" spans="1:13" s="73" customFormat="1" ht="30" customHeight="1">
      <c r="A23" s="76" t="s">
        <v>80</v>
      </c>
      <c r="B23" s="85" t="s">
        <v>205</v>
      </c>
      <c r="C23" s="86"/>
      <c r="D23" s="86">
        <f t="shared" si="3"/>
        <v>2661539</v>
      </c>
      <c r="E23" s="86">
        <f>1096387+82000-55000+65000-21855-35240</f>
        <v>1131292</v>
      </c>
      <c r="F23" s="86">
        <f>1565842-35595</f>
        <v>1530247</v>
      </c>
      <c r="G23" s="86">
        <f>35000-35000</f>
        <v>0</v>
      </c>
      <c r="H23" s="87">
        <f t="shared" si="2"/>
        <v>2843198</v>
      </c>
      <c r="I23" s="86">
        <v>877151</v>
      </c>
      <c r="J23" s="86">
        <v>1940168</v>
      </c>
      <c r="K23" s="86">
        <v>25879</v>
      </c>
      <c r="L23" s="80"/>
      <c r="M23" s="88">
        <f t="shared" si="0"/>
        <v>1.0682533676944055</v>
      </c>
    </row>
    <row r="24" spans="1:13" s="73" customFormat="1" ht="30" customHeight="1">
      <c r="A24" s="76" t="s">
        <v>206</v>
      </c>
      <c r="B24" s="85" t="s">
        <v>207</v>
      </c>
      <c r="C24" s="86"/>
      <c r="D24" s="86">
        <f t="shared" si="3"/>
        <v>396858</v>
      </c>
      <c r="E24" s="86">
        <f>621274+10000-358190</f>
        <v>273084</v>
      </c>
      <c r="F24" s="86">
        <v>5009</v>
      </c>
      <c r="G24" s="86">
        <v>118765</v>
      </c>
      <c r="H24" s="87">
        <f t="shared" si="2"/>
        <v>424770</v>
      </c>
      <c r="I24" s="86">
        <v>285952</v>
      </c>
      <c r="J24" s="86">
        <v>12390</v>
      </c>
      <c r="K24" s="86">
        <v>126428</v>
      </c>
      <c r="L24" s="80"/>
      <c r="M24" s="88">
        <f t="shared" si="0"/>
        <v>1.0703324614849643</v>
      </c>
    </row>
    <row r="25" spans="1:13" s="73" customFormat="1" ht="30" customHeight="1">
      <c r="A25" s="76" t="s">
        <v>82</v>
      </c>
      <c r="B25" s="85" t="s">
        <v>208</v>
      </c>
      <c r="C25" s="86"/>
      <c r="D25" s="86">
        <f t="shared" si="3"/>
        <v>86464</v>
      </c>
      <c r="E25" s="86">
        <f>39113+6000-100</f>
        <v>45013</v>
      </c>
      <c r="F25" s="86">
        <v>18724</v>
      </c>
      <c r="G25" s="86">
        <v>22727</v>
      </c>
      <c r="H25" s="87">
        <f t="shared" si="2"/>
        <v>99670</v>
      </c>
      <c r="I25" s="86">
        <v>47312</v>
      </c>
      <c r="J25" s="86">
        <v>25987</v>
      </c>
      <c r="K25" s="86">
        <v>26371</v>
      </c>
      <c r="L25" s="80"/>
      <c r="M25" s="88">
        <f t="shared" si="0"/>
        <v>1.1527340858623243</v>
      </c>
    </row>
    <row r="26" spans="1:13" s="73" customFormat="1" ht="30" customHeight="1">
      <c r="A26" s="76" t="s">
        <v>83</v>
      </c>
      <c r="B26" s="85" t="s">
        <v>209</v>
      </c>
      <c r="C26" s="86"/>
      <c r="D26" s="86">
        <f t="shared" si="3"/>
        <v>23955</v>
      </c>
      <c r="E26" s="86">
        <v>14904</v>
      </c>
      <c r="F26" s="86">
        <v>9051</v>
      </c>
      <c r="G26" s="86"/>
      <c r="H26" s="87">
        <f t="shared" si="2"/>
        <v>29763</v>
      </c>
      <c r="I26" s="86">
        <v>14560</v>
      </c>
      <c r="J26" s="86">
        <v>13548</v>
      </c>
      <c r="K26" s="86">
        <v>1655</v>
      </c>
      <c r="L26" s="80"/>
      <c r="M26" s="88">
        <f t="shared" si="0"/>
        <v>1.2424546023794616</v>
      </c>
    </row>
    <row r="27" spans="1:13" s="73" customFormat="1" ht="30" customHeight="1">
      <c r="A27" s="76" t="s">
        <v>84</v>
      </c>
      <c r="B27" s="85" t="s">
        <v>210</v>
      </c>
      <c r="C27" s="86"/>
      <c r="D27" s="86">
        <f t="shared" si="3"/>
        <v>2800</v>
      </c>
      <c r="E27" s="86">
        <v>2800</v>
      </c>
      <c r="F27" s="86"/>
      <c r="G27" s="86"/>
      <c r="H27" s="87">
        <f t="shared" si="2"/>
        <v>4423</v>
      </c>
      <c r="I27" s="86">
        <v>4423</v>
      </c>
      <c r="J27" s="86"/>
      <c r="K27" s="86"/>
      <c r="L27" s="80"/>
      <c r="M27" s="88">
        <f t="shared" si="0"/>
        <v>1.5796428571428571</v>
      </c>
    </row>
    <row r="28" spans="1:13" s="73" customFormat="1" ht="30" customHeight="1">
      <c r="A28" s="76" t="s">
        <v>86</v>
      </c>
      <c r="B28" s="85" t="s">
        <v>211</v>
      </c>
      <c r="C28" s="86"/>
      <c r="D28" s="86">
        <f t="shared" si="3"/>
        <v>24133</v>
      </c>
      <c r="E28" s="86">
        <f>22733+2000-600</f>
        <v>24133</v>
      </c>
      <c r="F28" s="86"/>
      <c r="G28" s="86"/>
      <c r="H28" s="87">
        <f t="shared" si="2"/>
        <v>28397</v>
      </c>
      <c r="I28" s="86">
        <v>23442</v>
      </c>
      <c r="J28" s="86">
        <v>4955</v>
      </c>
      <c r="K28" s="86"/>
      <c r="L28" s="80"/>
      <c r="M28" s="88">
        <f t="shared" si="0"/>
        <v>1.176687523308333</v>
      </c>
    </row>
    <row r="29" spans="1:13" s="73" customFormat="1" ht="30" customHeight="1">
      <c r="A29" s="76" t="s">
        <v>212</v>
      </c>
      <c r="B29" s="85" t="s">
        <v>213</v>
      </c>
      <c r="C29" s="86"/>
      <c r="D29" s="86">
        <f t="shared" si="3"/>
        <v>603119</v>
      </c>
      <c r="E29" s="86">
        <f>219181+41000</f>
        <v>260181</v>
      </c>
      <c r="F29" s="86">
        <v>85632</v>
      </c>
      <c r="G29" s="86">
        <v>257306</v>
      </c>
      <c r="H29" s="87">
        <f t="shared" si="2"/>
        <v>609216</v>
      </c>
      <c r="I29" s="86">
        <v>126995</v>
      </c>
      <c r="J29" s="86">
        <v>151680</v>
      </c>
      <c r="K29" s="86">
        <v>330541</v>
      </c>
      <c r="L29" s="80"/>
      <c r="M29" s="88">
        <f t="shared" si="0"/>
        <v>1.0101091161114142</v>
      </c>
    </row>
    <row r="30" spans="1:13" s="73" customFormat="1" ht="30" customHeight="1">
      <c r="A30" s="76" t="s">
        <v>214</v>
      </c>
      <c r="B30" s="85" t="s">
        <v>215</v>
      </c>
      <c r="C30" s="86"/>
      <c r="D30" s="86">
        <f t="shared" si="3"/>
        <v>142954</v>
      </c>
      <c r="E30" s="86">
        <f>42600+9000+69420</f>
        <v>121020</v>
      </c>
      <c r="F30" s="86">
        <v>8274</v>
      </c>
      <c r="G30" s="86">
        <v>13660</v>
      </c>
      <c r="H30" s="87">
        <f t="shared" si="2"/>
        <v>220820</v>
      </c>
      <c r="I30" s="86">
        <v>123405</v>
      </c>
      <c r="J30" s="86">
        <v>29930</v>
      </c>
      <c r="K30" s="86">
        <v>67485</v>
      </c>
      <c r="L30" s="80"/>
      <c r="M30" s="88">
        <f t="shared" si="0"/>
        <v>1.5446926983505183</v>
      </c>
    </row>
    <row r="31" spans="1:13" s="73" customFormat="1" ht="30" customHeight="1">
      <c r="A31" s="76" t="s">
        <v>216</v>
      </c>
      <c r="B31" s="85" t="s">
        <v>217</v>
      </c>
      <c r="C31" s="86"/>
      <c r="D31" s="86">
        <f t="shared" si="3"/>
        <v>53968</v>
      </c>
      <c r="E31" s="86">
        <f>18000+22417</f>
        <v>40417</v>
      </c>
      <c r="F31" s="86">
        <v>8642</v>
      </c>
      <c r="G31" s="86">
        <v>4909</v>
      </c>
      <c r="H31" s="87">
        <f t="shared" si="2"/>
        <v>93401</v>
      </c>
      <c r="I31" s="86">
        <v>41833</v>
      </c>
      <c r="J31" s="86">
        <v>17782</v>
      </c>
      <c r="K31" s="86">
        <v>33786</v>
      </c>
      <c r="L31" s="80"/>
      <c r="M31" s="88">
        <f t="shared" si="0"/>
        <v>1.730673732582271</v>
      </c>
    </row>
    <row r="32" spans="1:13" s="73" customFormat="1" ht="30" customHeight="1">
      <c r="A32" s="76" t="s">
        <v>218</v>
      </c>
      <c r="B32" s="85" t="s">
        <v>219</v>
      </c>
      <c r="C32" s="86"/>
      <c r="D32" s="86">
        <f t="shared" si="3"/>
        <v>1292389</v>
      </c>
      <c r="E32" s="86">
        <f>462863+25000+20000+2000+5000+7000</f>
        <v>521863</v>
      </c>
      <c r="F32" s="86">
        <f>220330+82788</f>
        <v>303118</v>
      </c>
      <c r="G32" s="86">
        <f>467408</f>
        <v>467408</v>
      </c>
      <c r="H32" s="87">
        <f t="shared" si="2"/>
        <v>1492533</v>
      </c>
      <c r="I32" s="86">
        <v>459411</v>
      </c>
      <c r="J32" s="86">
        <v>320974</v>
      </c>
      <c r="K32" s="86">
        <v>712148</v>
      </c>
      <c r="L32" s="80"/>
      <c r="M32" s="88">
        <f t="shared" si="0"/>
        <v>1.154863589832473</v>
      </c>
    </row>
    <row r="33" spans="1:13" s="73" customFormat="1" ht="30" customHeight="1">
      <c r="A33" s="76" t="s">
        <v>220</v>
      </c>
      <c r="B33" s="85" t="s">
        <v>221</v>
      </c>
      <c r="C33" s="86"/>
      <c r="D33" s="86">
        <f t="shared" si="3"/>
        <v>59353</v>
      </c>
      <c r="E33" s="86">
        <f>15000+25000+1200+1000</f>
        <v>42200</v>
      </c>
      <c r="F33" s="86">
        <v>10955</v>
      </c>
      <c r="G33" s="86">
        <v>6198</v>
      </c>
      <c r="H33" s="87">
        <f t="shared" si="2"/>
        <v>79854</v>
      </c>
      <c r="I33" s="86">
        <v>45122</v>
      </c>
      <c r="J33" s="86">
        <v>25132</v>
      </c>
      <c r="K33" s="86">
        <v>9600</v>
      </c>
      <c r="L33" s="80"/>
      <c r="M33" s="88">
        <f t="shared" si="0"/>
        <v>1.3454079827472916</v>
      </c>
    </row>
    <row r="34" spans="1:13" s="73" customFormat="1" ht="30" customHeight="1">
      <c r="A34" s="77">
        <v>3</v>
      </c>
      <c r="B34" s="82" t="s">
        <v>222</v>
      </c>
      <c r="C34" s="83">
        <v>1340</v>
      </c>
      <c r="D34" s="83">
        <f>E34+F34+G34</f>
        <v>1340</v>
      </c>
      <c r="E34" s="83">
        <v>1340</v>
      </c>
      <c r="F34" s="83"/>
      <c r="G34" s="83"/>
      <c r="H34" s="78">
        <f t="shared" si="2"/>
        <v>1340</v>
      </c>
      <c r="I34" s="83">
        <v>1340</v>
      </c>
      <c r="J34" s="83"/>
      <c r="K34" s="83"/>
      <c r="L34" s="80">
        <f>H34/C34</f>
        <v>1</v>
      </c>
      <c r="M34" s="80">
        <f t="shared" si="0"/>
        <v>1</v>
      </c>
    </row>
    <row r="35" spans="1:13" s="73" customFormat="1" ht="30" customHeight="1">
      <c r="A35" s="77">
        <v>4</v>
      </c>
      <c r="B35" s="82" t="s">
        <v>223</v>
      </c>
      <c r="C35" s="83">
        <v>400891</v>
      </c>
      <c r="D35" s="83">
        <f>E35+F35+G35</f>
        <v>400891</v>
      </c>
      <c r="E35" s="83">
        <v>400891</v>
      </c>
      <c r="F35" s="83"/>
      <c r="G35" s="83"/>
      <c r="H35" s="78">
        <f t="shared" si="2"/>
        <v>527539</v>
      </c>
      <c r="I35" s="83">
        <v>527539</v>
      </c>
      <c r="J35" s="83"/>
      <c r="K35" s="83"/>
      <c r="L35" s="80">
        <f>H35/C35</f>
        <v>1.3159162964496585</v>
      </c>
      <c r="M35" s="80">
        <f t="shared" si="0"/>
        <v>1.3159162964496585</v>
      </c>
    </row>
    <row r="36" spans="1:13" s="73" customFormat="1" ht="30" customHeight="1">
      <c r="A36" s="77">
        <v>5</v>
      </c>
      <c r="B36" s="82" t="s">
        <v>224</v>
      </c>
      <c r="C36" s="83"/>
      <c r="D36" s="83">
        <f>E36+F36+G36</f>
        <v>644159</v>
      </c>
      <c r="E36" s="83">
        <v>607279</v>
      </c>
      <c r="F36" s="83">
        <v>24192</v>
      </c>
      <c r="G36" s="83">
        <v>12688</v>
      </c>
      <c r="H36" s="78">
        <f t="shared" si="2"/>
        <v>0</v>
      </c>
      <c r="I36" s="83"/>
      <c r="J36" s="83"/>
      <c r="K36" s="83"/>
      <c r="L36" s="80"/>
      <c r="M36" s="80"/>
    </row>
    <row r="37" spans="1:13" s="73" customFormat="1" ht="30" customHeight="1">
      <c r="A37" s="77">
        <v>6</v>
      </c>
      <c r="B37" s="82" t="s">
        <v>225</v>
      </c>
      <c r="C37" s="83"/>
      <c r="D37" s="83"/>
      <c r="E37" s="83"/>
      <c r="F37" s="83"/>
      <c r="G37" s="83"/>
      <c r="H37" s="78">
        <f t="shared" si="2"/>
        <v>4210106</v>
      </c>
      <c r="I37" s="83">
        <v>3695996</v>
      </c>
      <c r="J37" s="83">
        <v>348407</v>
      </c>
      <c r="K37" s="83">
        <v>165703</v>
      </c>
      <c r="L37" s="80"/>
      <c r="M37" s="80"/>
    </row>
    <row r="38" spans="1:13" s="73" customFormat="1" ht="30" customHeight="1">
      <c r="A38" s="77">
        <v>7</v>
      </c>
      <c r="B38" s="82" t="s">
        <v>226</v>
      </c>
      <c r="C38" s="83">
        <v>190910</v>
      </c>
      <c r="D38" s="83">
        <f>E38+F38+G38</f>
        <v>208215</v>
      </c>
      <c r="E38" s="83">
        <v>157440</v>
      </c>
      <c r="F38" s="83">
        <v>31287</v>
      </c>
      <c r="G38" s="83">
        <v>19488</v>
      </c>
      <c r="H38" s="78">
        <f t="shared" si="2"/>
        <v>0</v>
      </c>
      <c r="I38" s="83"/>
      <c r="J38" s="83"/>
      <c r="K38" s="83"/>
      <c r="L38" s="80"/>
      <c r="M38" s="80"/>
    </row>
    <row r="39" spans="1:13" s="73" customFormat="1" ht="30" customHeight="1">
      <c r="A39" s="77">
        <v>8</v>
      </c>
      <c r="B39" s="82" t="s">
        <v>227</v>
      </c>
      <c r="C39" s="83"/>
      <c r="D39" s="83">
        <f>E39+F39+G39</f>
        <v>112000</v>
      </c>
      <c r="E39" s="83">
        <v>112000</v>
      </c>
      <c r="F39" s="83"/>
      <c r="G39" s="83"/>
      <c r="H39" s="78">
        <f t="shared" si="2"/>
        <v>0</v>
      </c>
      <c r="I39" s="83"/>
      <c r="J39" s="83"/>
      <c r="K39" s="83"/>
      <c r="L39" s="80"/>
      <c r="M39" s="80"/>
    </row>
    <row r="40" spans="1:13" s="73" customFormat="1" ht="30" customHeight="1">
      <c r="A40" s="77" t="s">
        <v>138</v>
      </c>
      <c r="B40" s="82" t="s">
        <v>228</v>
      </c>
      <c r="C40" s="83"/>
      <c r="D40" s="83">
        <f>E40+F40+G40</f>
        <v>591945</v>
      </c>
      <c r="E40" s="83">
        <v>435350</v>
      </c>
      <c r="F40" s="83">
        <f>35595+2000+3000+1000+8000</f>
        <v>49595</v>
      </c>
      <c r="G40" s="83">
        <f>70000+37000</f>
        <v>107000</v>
      </c>
      <c r="H40" s="78">
        <f t="shared" si="2"/>
        <v>623368</v>
      </c>
      <c r="I40" s="83">
        <v>414958</v>
      </c>
      <c r="J40" s="83">
        <v>51696</v>
      </c>
      <c r="K40" s="83">
        <v>156714</v>
      </c>
      <c r="L40" s="80"/>
      <c r="M40" s="80">
        <f t="shared" si="0"/>
        <v>1.0530843237125072</v>
      </c>
    </row>
    <row r="41" spans="1:13" s="73" customFormat="1" ht="30" customHeight="1">
      <c r="A41" s="77" t="s">
        <v>143</v>
      </c>
      <c r="B41" s="82" t="s">
        <v>229</v>
      </c>
      <c r="C41" s="83"/>
      <c r="D41" s="83"/>
      <c r="E41" s="83"/>
      <c r="F41" s="83"/>
      <c r="G41" s="83"/>
      <c r="H41" s="78">
        <f t="shared" si="2"/>
        <v>1171</v>
      </c>
      <c r="I41" s="83"/>
      <c r="J41" s="83">
        <v>1171</v>
      </c>
      <c r="K41" s="83"/>
      <c r="L41" s="80"/>
      <c r="M41" s="80"/>
    </row>
    <row r="42" spans="1:13" s="73" customFormat="1" ht="30" customHeight="1">
      <c r="A42" s="77" t="s">
        <v>145</v>
      </c>
      <c r="B42" s="82" t="s">
        <v>230</v>
      </c>
      <c r="C42" s="83">
        <f>C43+C44</f>
        <v>0</v>
      </c>
      <c r="D42" s="83">
        <f>E42+F42+G42</f>
        <v>0</v>
      </c>
      <c r="E42" s="83">
        <f>E43+E44</f>
        <v>0</v>
      </c>
      <c r="F42" s="83">
        <v>0</v>
      </c>
      <c r="G42" s="83">
        <v>0</v>
      </c>
      <c r="H42" s="78">
        <f t="shared" si="2"/>
        <v>6376521</v>
      </c>
      <c r="I42" s="83">
        <f>I43+I44</f>
        <v>4398767</v>
      </c>
      <c r="J42" s="83">
        <f>J43+J44</f>
        <v>1977754</v>
      </c>
      <c r="K42" s="83">
        <f>K43+K44</f>
        <v>0</v>
      </c>
      <c r="L42" s="80"/>
      <c r="M42" s="80"/>
    </row>
    <row r="43" spans="1:13" s="73" customFormat="1" ht="30" customHeight="1">
      <c r="A43" s="76"/>
      <c r="B43" s="85" t="s">
        <v>231</v>
      </c>
      <c r="C43" s="86"/>
      <c r="D43" s="86">
        <f>E43+F43+G43</f>
        <v>0</v>
      </c>
      <c r="E43" s="86"/>
      <c r="F43" s="86"/>
      <c r="G43" s="86"/>
      <c r="H43" s="87">
        <f t="shared" si="2"/>
        <v>3371121</v>
      </c>
      <c r="I43" s="86">
        <v>2595681</v>
      </c>
      <c r="J43" s="86">
        <v>775440</v>
      </c>
      <c r="K43" s="86"/>
      <c r="L43" s="80"/>
      <c r="M43" s="80"/>
    </row>
    <row r="44" spans="1:13" s="73" customFormat="1" ht="30" customHeight="1">
      <c r="A44" s="76"/>
      <c r="B44" s="85" t="s">
        <v>232</v>
      </c>
      <c r="C44" s="86"/>
      <c r="D44" s="86">
        <f>E44+F44+G44</f>
        <v>0</v>
      </c>
      <c r="E44" s="86"/>
      <c r="F44" s="86"/>
      <c r="G44" s="86"/>
      <c r="H44" s="87">
        <f t="shared" si="2"/>
        <v>3005400</v>
      </c>
      <c r="I44" s="86">
        <v>1803086</v>
      </c>
      <c r="J44" s="86">
        <v>1202314</v>
      </c>
      <c r="K44" s="86"/>
      <c r="L44" s="80"/>
      <c r="M44" s="80"/>
    </row>
    <row r="45" spans="1:13" s="73" customFormat="1" ht="30" customHeight="1">
      <c r="A45" s="77"/>
      <c r="B45" s="77" t="s">
        <v>233</v>
      </c>
      <c r="C45" s="83"/>
      <c r="D45" s="83">
        <f>E45+F45+G45</f>
        <v>11031765</v>
      </c>
      <c r="E45" s="83">
        <f>E12+E40+E41+E42</f>
        <v>7307794</v>
      </c>
      <c r="F45" s="83">
        <f>F12+F40+F41+F42</f>
        <v>2456502</v>
      </c>
      <c r="G45" s="83">
        <f>G12+G40+G41+G42</f>
        <v>1267469</v>
      </c>
      <c r="H45" s="78">
        <f t="shared" si="2"/>
        <v>22315960</v>
      </c>
      <c r="I45" s="83">
        <f>I12+I40+I41+I42</f>
        <v>14247431</v>
      </c>
      <c r="J45" s="83">
        <f>J12+J40+J41+J42</f>
        <v>5373950</v>
      </c>
      <c r="K45" s="83">
        <f>K12+K40+K41+K42</f>
        <v>2694579</v>
      </c>
      <c r="L45" s="80"/>
      <c r="M45" s="80">
        <f t="shared" si="0"/>
        <v>2.022882104540842</v>
      </c>
    </row>
    <row r="46" spans="1:13" ht="14.25" customHeight="1">
      <c r="A46" s="93"/>
      <c r="B46" s="94"/>
      <c r="C46" s="94"/>
      <c r="D46" s="94"/>
      <c r="E46" s="94"/>
      <c r="F46" s="94"/>
      <c r="G46" s="94"/>
      <c r="H46" s="95"/>
      <c r="I46" s="96"/>
      <c r="J46" s="96"/>
      <c r="K46" s="96"/>
      <c r="L46" s="94"/>
      <c r="M46" s="94"/>
    </row>
    <row r="47" spans="4:11" ht="23.25" customHeight="1" hidden="1">
      <c r="D47" s="97" t="e">
        <f>#REF!-D11</f>
        <v>#REF!</v>
      </c>
      <c r="I47" s="83">
        <v>14247431</v>
      </c>
      <c r="J47" s="83">
        <v>5373950</v>
      </c>
      <c r="K47" s="83">
        <v>2694579</v>
      </c>
    </row>
    <row r="48" spans="4:11" s="73" customFormat="1" ht="15" hidden="1">
      <c r="D48" s="73">
        <v>435350</v>
      </c>
      <c r="H48" s="84">
        <f>H45-H40</f>
        <v>21692592</v>
      </c>
      <c r="I48" s="84">
        <f>I47-I45</f>
        <v>0</v>
      </c>
      <c r="J48" s="84">
        <f>J47-J45</f>
        <v>0</v>
      </c>
      <c r="K48" s="84">
        <f>K47-K45</f>
        <v>0</v>
      </c>
    </row>
    <row r="49" spans="4:8" s="73" customFormat="1" ht="15" hidden="1">
      <c r="D49" s="84" t="e">
        <f>D48+D47</f>
        <v>#REF!</v>
      </c>
      <c r="E49" s="84"/>
      <c r="H49" s="84">
        <f>H45-6376521</f>
        <v>15939439</v>
      </c>
    </row>
    <row r="50" s="73" customFormat="1" ht="15"/>
    <row r="51" s="73" customFormat="1" ht="15"/>
    <row r="52" s="73" customFormat="1" ht="15"/>
    <row r="53" s="98" customFormat="1" ht="15.75"/>
    <row r="54" s="98" customFormat="1" ht="15.75"/>
    <row r="55" s="98" customFormat="1" ht="15.75"/>
    <row r="56" s="98" customFormat="1" ht="15.75"/>
    <row r="57" s="98" customFormat="1" ht="15.75"/>
  </sheetData>
  <sheetProtection/>
  <mergeCells count="24">
    <mergeCell ref="A7:A9"/>
    <mergeCell ref="B7:B9"/>
    <mergeCell ref="C7:C9"/>
    <mergeCell ref="D7:G7"/>
    <mergeCell ref="D8:D9"/>
    <mergeCell ref="E8:E9"/>
    <mergeCell ref="F8:F9"/>
    <mergeCell ref="G8:G9"/>
    <mergeCell ref="H8:H9"/>
    <mergeCell ref="I8:I9"/>
    <mergeCell ref="L8:L9"/>
    <mergeCell ref="M8:M9"/>
    <mergeCell ref="J8:J9"/>
    <mergeCell ref="K8:K9"/>
    <mergeCell ref="K3:M3"/>
    <mergeCell ref="A5:M5"/>
    <mergeCell ref="H7:K7"/>
    <mergeCell ref="L7:M7"/>
    <mergeCell ref="A1:D1"/>
    <mergeCell ref="E1:M1"/>
    <mergeCell ref="A2:D2"/>
    <mergeCell ref="E2:M2"/>
    <mergeCell ref="A4:M4"/>
    <mergeCell ref="K6:M6"/>
  </mergeCells>
  <printOptions horizontalCentered="1"/>
  <pageMargins left="0.2" right="0" top="0.75" bottom="0.75" header="0.5" footer="0.2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 tinh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NS - STC_VG HT</dc:creator>
  <cp:keywords/>
  <dc:description/>
  <cp:lastModifiedBy>TrungKien</cp:lastModifiedBy>
  <cp:lastPrinted>2014-12-27T07:13:53Z</cp:lastPrinted>
  <dcterms:created xsi:type="dcterms:W3CDTF">1999-05-11T05:24:26Z</dcterms:created>
  <dcterms:modified xsi:type="dcterms:W3CDTF">2014-12-27T07:14:45Z</dcterms:modified>
  <cp:category/>
  <cp:version/>
  <cp:contentType/>
  <cp:contentStatus/>
</cp:coreProperties>
</file>