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0" yWindow="150" windowWidth="10995" windowHeight="6450" tabRatio="758" activeTab="0"/>
  </bookViews>
  <sheets>
    <sheet name="TH" sheetId="1" r:id="rId1"/>
    <sheet name="Trong trot" sheetId="2" r:id="rId2"/>
    <sheet name="chan nuoi" sheetId="3" r:id="rId3"/>
    <sheet name="thuy san" sheetId="4" r:id="rId4"/>
    <sheet name="lam nghiep" sheetId="5" r:id="rId5"/>
    <sheet name="So KHCN" sheetId="6" r:id="rId6"/>
    <sheet name="OCOP" sheetId="7" r:id="rId7"/>
    <sheet name="thuong mai" sheetId="8" r:id="rId8"/>
    <sheet name="lai suat" sheetId="9" r:id="rId9"/>
    <sheet name="NTM" sheetId="10" r:id="rId10"/>
    <sheet name="xi mang2" sheetId="11" r:id="rId11"/>
  </sheets>
  <externalReferences>
    <externalReference r:id="rId14"/>
  </externalReferences>
  <definedNames/>
  <calcPr fullCalcOnLoad="1"/>
</workbook>
</file>

<file path=xl/sharedStrings.xml><?xml version="1.0" encoding="utf-8"?>
<sst xmlns="http://schemas.openxmlformats.org/spreadsheetml/2006/main" count="468" uniqueCount="262">
  <si>
    <t>TT</t>
  </si>
  <si>
    <t>ĐVT: Triệu đồng</t>
  </si>
  <si>
    <t>Nội dung</t>
  </si>
  <si>
    <t>Năm 2019</t>
  </si>
  <si>
    <t>Năm 2020</t>
  </si>
  <si>
    <t>Năm 2021</t>
  </si>
  <si>
    <t>SỞ NÔNG NGHIỆP VÀ PTNT</t>
  </si>
  <si>
    <t>DỰ TOÁN KINH PHÍ XÂY DỰNG CHÍNH SÁCH NÔNG NGHIỆP, NÔNG THÔN 
VÀ XÂY DỰNG NÔNG THÔN MỚI NĂM 2019-2021</t>
  </si>
  <si>
    <t>Tổng cộng 2019-2021</t>
  </si>
  <si>
    <t>I</t>
  </si>
  <si>
    <t>II</t>
  </si>
  <si>
    <t>III</t>
  </si>
  <si>
    <t>IV</t>
  </si>
  <si>
    <t>TỔNG CỘNG</t>
  </si>
  <si>
    <t>Chính sách sản xuất, bảo quản, chế biến</t>
  </si>
  <si>
    <t>Chăn nuôi</t>
  </si>
  <si>
    <t>Thủy sản</t>
  </si>
  <si>
    <t>Lâm nghiệp</t>
  </si>
  <si>
    <t>Chính sách thương mại nông thôn</t>
  </si>
  <si>
    <t>Chính sách hỗ trợ lãi suất</t>
  </si>
  <si>
    <t>Xây dựng nông thôn mới</t>
  </si>
  <si>
    <t>Chính sách OCOP</t>
  </si>
  <si>
    <t>Hỗ trợ xây dựng vườn mẫu</t>
  </si>
  <si>
    <t>Hỗ trợ xây dựng khu dân cư nông thôn mới kiểu mẫu</t>
  </si>
  <si>
    <t>Hỗ trợ lắp đặt thiết bị xử lý nước sinh hoạt hộ gia đình</t>
  </si>
  <si>
    <t>V</t>
  </si>
  <si>
    <t>Hỗ trợ xã đạt chuẩn nông thôn mới, đạt chuẩn NTM nâng cao, đạt chuẩn NTM kiểu mẫu</t>
  </si>
  <si>
    <t>Hỗ trợ di dời, xây dựng hố xí tự hoại cho hộ nghèo, hộ cận nghèo</t>
  </si>
  <si>
    <t>Chính sách ứng dụng công nghệ sinh học, nấm</t>
  </si>
  <si>
    <t xml:space="preserve"> -</t>
  </si>
  <si>
    <t xml:space="preserve">Hỗ trợ xã đạt chuẩn nông thôn mới </t>
  </si>
  <si>
    <t>Hỗ trợ xã đạt chuẩn nông thôn mới kiểu mẫu</t>
  </si>
  <si>
    <t>Hỗ trợ xã đạt chuẩn nông thôn mới nâng cao</t>
  </si>
  <si>
    <t>Hỗ trợ xi măng làm giao thông nông thôn, rãnh thoát nước</t>
  </si>
  <si>
    <t xml:space="preserve">Hỗ trợ trong công tác duy tu, bão dưỡng thường xuyên và phục hồi, nâng cấp mặt đường BTXM đường giao thông nông thôn </t>
  </si>
  <si>
    <t>Hỗ trợ xi măng làm kênh mương nội đồng</t>
  </si>
  <si>
    <t>ĐVT</t>
  </si>
  <si>
    <t>Mức hỗ trợ
(triệu đồng)</t>
  </si>
  <si>
    <t>Số 
lượng</t>
  </si>
  <si>
    <t xml:space="preserve">Kinh 
phí hỗ trợ </t>
  </si>
  <si>
    <t>Tổng kinh 
phí hỗ trợ</t>
  </si>
  <si>
    <t>Lúa</t>
  </si>
  <si>
    <t>Các tổ chức, cá nhân hoạt động sản xuất, kinh doanh giống cây trồng theo đúng quy định của pháp luật có Giấy phép đăng ký sản xuất, kinh doanh trên địa bàn tỉnh được hỗ trợ 50% kinh phí mua bản quyền giống mới phù hợp với cơ cấu giống của tỉnh, mức hỗ trợ tối đa 1.000 triệu đồng/01 giống lúa thuần.</t>
  </si>
  <si>
    <t>Giống</t>
  </si>
  <si>
    <t>1000/
giống</t>
  </si>
  <si>
    <t>Cam bù, cam chanh, bưởi Phúc Trạch</t>
  </si>
  <si>
    <t>cây</t>
  </si>
  <si>
    <t>1 triệu đồng/cây</t>
  </si>
  <si>
    <t>ha</t>
  </si>
  <si>
    <t>a. Hỗ trợ chi phí làm đất để trồng mới chè, mức 05 triệu đồng/ha</t>
  </si>
  <si>
    <t>05 triệu đồng/ha</t>
  </si>
  <si>
    <t>14,4 triệu/ha</t>
  </si>
  <si>
    <t>Hỗ trợ tích tụ ruộng đất</t>
  </si>
  <si>
    <t>SỞ NÔNG NGHIỆP VÀ PHÁT TRIỂN NÔNG THÔN</t>
  </si>
  <si>
    <t>TỔNG CỘNG CHĂN NUÔI VÀ THÚ Y</t>
  </si>
  <si>
    <t xml:space="preserve">Hỗ trợ kinh phí nuôi giữ giống gốc: </t>
  </si>
  <si>
    <t>Hỗ trợ kinh phí nuôi giữ giống gốc: Tổ chức, cá nhân đủ điều kiện sản xuất giống theo quy định tại Khoản 1, Điều 19 của Pháp lệnh giống vật nuôi, đảm bảo các chỉ tiêu kinh tế kỹ thuật theo Quyết định số 675/QĐ-BNN ngày 04 tháng 4 năm 2014 của Bộ Nông nghiệp và Phát triển nông thôn và cung ứng giống cấp bố mẹ, ông bà trên địa bàn tỉnh, được hỗ trợ kinh phí theo quy định tại Thông tư số 116/2007/TTLT/BTC ngày 30 tháng 6 năm 2016 của Bộ Tài chính.</t>
  </si>
  <si>
    <t>con</t>
  </si>
  <si>
    <t>Hỗ trợ cải tạo giống bò:</t>
  </si>
  <si>
    <t>Tổ chức, cá nhân chăn nuôi bò cái sinh sản phối giống bằng phương pháp thụ tinh nhân tạo với tinh bò nhóm Zêbu, bò chất lượng cao được hỗ trợ: 100% kinh phí mua tinh và vật tư phối giống (ni tơ, ống ghen, găng tay)</t>
  </si>
  <si>
    <t>tinh, vật tư</t>
  </si>
  <si>
    <t>0,09</t>
  </si>
  <si>
    <t>Hỗ trợ kinh phí khảo sát, xây dựng kế hoạch; tổ chức, triển khai; kiểm tra, hướng dẫn; lập hồ sơ thanh, quyết toán cho công tác phối giống bò:10.000 đồng/liều tinh phối giống, được nghiệm thu, quyết toán hàng năm, trong đó: Trung tâm Khuyến nông tỉnh 30%, Trung tâm Ứng dụng khoa học kỹ thuật và bảo vệ cây trồng, vật nuôi cấp huyện 70%</t>
  </si>
  <si>
    <t>năm</t>
  </si>
  <si>
    <t>Hỗ trợ kinh phí mua bình đựng và bảo quản tinh cho các điểm chuyển giao tinh tại cấp huyện (đảm bảo mỗi huyện có 02 bình loại 35 lít/bình, kể cả bình đang sử dụng và mua mới); mức hỗ trợ tối đa 17 triệu đồng/bình</t>
  </si>
  <si>
    <t>bình</t>
  </si>
  <si>
    <t xml:space="preserve">Hỗ trợ cơ sở sản xuất gà giống: </t>
  </si>
  <si>
    <t>Tổ chức, cá nhân xây dựng mới cơ sở chăn nuôi gà giống cấp bố mẹ trở lên, có quy mô tối thiểu 5.000 con (Dự án được cấp có thẩm quyền phê duyệt), được hỗ trợ xây dựng chuồng trại; xử lý chất thải, bảo vệ môi trường; mức hỗ trợ 300 triệu đồng/cơ sở</t>
  </si>
  <si>
    <t>cơ sở</t>
  </si>
  <si>
    <t>Hỗ trợ chăn nuôi đạt quy trình thực hành chăn nuôi tốt (VietGAHP) và xây dựng cơ sở an toàn dịch bệnh động vật (đối với cơ sở chăn nuôi có quy mô tối thiểu: lợn nái 300 con, lợn thịt 500 con hoặc 500 con gồm cả lợn nái và lợn thịt; gà sinh sản 3.000 con, gà thịt 5.000 con; trâu bò nái sinh sản 50 con):</t>
  </si>
  <si>
    <t xml:space="preserve"> - Hỗ trợ một lần kinh phí tư vấn, đánh giá để xây dựng cơ sở chăn nuôi đạt quy trình VietGAHP; mức hỗ trợ tối đa 40 triệu đồng/cơ sở</t>
  </si>
  <si>
    <t>- Hỗ trợ một lần kinh phí xây dựng cơ sở an toàn dịch bệnh (chi phí lấy mẫu, xét nghiệm mẫu, phí thẩm định, cấp giấy chứng nhận); mức hỗ trợ 30 triệu đồng/bệnh, tối đa không quá 50 triệu đồng/cơ sở</t>
  </si>
  <si>
    <t>Cơ sở</t>
  </si>
  <si>
    <t>Hỗ trợ kinh phí mua vắc xin tiêm phòng:</t>
  </si>
  <si>
    <t>a</t>
  </si>
  <si>
    <t>Hỗ trợ kinh phí mua vắc xin tiêm phòng định kỳ hàng năm theo quy định cho quy mô chăn nuôi nông hộ (chăn nuôi trâu, bò dưới 20 con, chăn nuôi lợn dưới 100 con, chăn nuôi gia cầm dưới 2.000 con, chó nuôi); mức hỗ trợ 02liều/bệnh/năm đối với các bệnh: Tụ huyết trùng trâu, bò; Dịch tả, Tụ huyết trùng lợn; Cúm gia cầm H5N1; 01 liều/năm đối với chó</t>
  </si>
  <si>
    <t>Liều</t>
  </si>
  <si>
    <t>-</t>
  </si>
  <si>
    <t xml:space="preserve">Vắc xin dại </t>
  </si>
  <si>
    <t>Vắc xin Tụ huyết trùng trâu, bò</t>
  </si>
  <si>
    <t>Vắc xin Dịch tả lợn</t>
  </si>
  <si>
    <t>Vắc xin Tụ huyết trùng lợn</t>
  </si>
  <si>
    <t>Vắc xin Cúm gia cầm H5N1</t>
  </si>
  <si>
    <t>b</t>
  </si>
  <si>
    <t>Hàng năm ngân sách bố trí kinh phí 2 tỷ đồng mua các loại vắc xin, hoá chất để chủ động bao vây, phòng, chống khi có dịch bệnh truyền nhiễm nguy hiểm gia súc, gia cầm (Lở mồm long móng gia súc, Tai xanh ở lợn, Cúm gia cầm) xảy ra trên địa bàn tỉnh</t>
  </si>
  <si>
    <t>Vắc xin LMLM týp O, A</t>
  </si>
  <si>
    <t>Vắc xin Tai xanh</t>
  </si>
  <si>
    <t>Vắc xin Cúm gia cầm</t>
  </si>
  <si>
    <t>Hoá chất khử trùng, tiêu độc trong chăn nuôi</t>
  </si>
  <si>
    <t>Lít</t>
  </si>
  <si>
    <t>Kiểm soát giết mổ</t>
  </si>
  <si>
    <t>Hỗ trợ lắp đặt hệ thống giết mổ treo gia súc (gồm giá treo, máy tời, giá cắt tiết, bàn cạo lông, bàn pha lóc, móc treo thịt,...); kinh phí mua vật tư, thiết bị xử lý nguồn nước (máy bơm, tẹc, hệ thống xử lý nước, ống dẫn, bồn chứa,...); mức hỗ trợ tối đa không quá 250 triệu/cơ sở</t>
  </si>
  <si>
    <t>Cơ sở</t>
  </si>
  <si>
    <t>c</t>
  </si>
  <si>
    <t xml:space="preserve">               Đơn vị tính: Triệu đồng</t>
  </si>
  <si>
    <t>Nội dung hỗ trợ</t>
  </si>
  <si>
    <t>Đơn vị tính</t>
  </si>
  <si>
    <t xml:space="preserve">Mức hỗ trợ </t>
  </si>
  <si>
    <t>Tổng 
cộng 2019 - 2021</t>
  </si>
  <si>
    <t>Năm 
2018</t>
  </si>
  <si>
    <t>Năm 
2019</t>
  </si>
  <si>
    <t>Năm
 2020</t>
  </si>
  <si>
    <t>Năm
 2021</t>
  </si>
  <si>
    <t>Hỗ trợ cấp chứng chỉ quản lý rừng bền vững (FSC) rừng trồng</t>
  </si>
  <si>
    <t>Hỗ trợ một lần chi phí cấp chứng chỉ rừng bền vững (FSC) cho các tổ chức, cộng đồng, nhóm hộ, hộ gia đình được cấp chứng chỉ với mức 300.000 đồng/ha rừng trồng.</t>
  </si>
  <si>
    <t>Ha</t>
  </si>
  <si>
    <t>300.000 đồng/ha</t>
  </si>
  <si>
    <t>Hỗ trợ xây dựng hạ tầng lâm nghiệp</t>
  </si>
  <si>
    <t>Hỗ trợ các tổ chức, hộ gia đình, cá nhân xây dựng các tuyến đường lâm nghiệp trong các vùng sản xuất gỗ nguyên liệu tập trung có quy mô từ 100 ha trở lên hoặc vào các khu du lịch sinh thái, du lịch tâm linh theo quy hoạch kết hợp bảo vệ rừng có quy mô từ 50 ha trở lên.</t>
  </si>
  <si>
    <t>Km</t>
  </si>
  <si>
    <t>450 triệu đồng/km</t>
  </si>
  <si>
    <t>Hỗ trợ phát triển cây dược liệu, lâm sản ngoài gỗ trên đất lâm nghiệp</t>
  </si>
  <si>
    <t>Hỗ trợ cây giống (Mộc hoa trắng, Kim tiền thảo, Hà thủ ô, Sa nhân, Ba kích, Hoằng đằng, Củ mài, Diệp hạ châu, Đinh lăng, Hương nhu, Ích mẫu, Mây nếp, Rẻ quạt, Nghệ, Gừng, Xích đồng nam, Địa liền và danh mục cây dược liệu theo quy định hiện hành của Bộ Y tế ban hành) cho các tổ chức, cá nhân đầu tư trồng cây dược liệu, lâm sản ngoài gỗ trên đất lâm nghiệp (kể cả trồng dưới tán rừng phòng hộ và sản xuất) thông qua liên kết với doanh nghiệp từ khâu trồng đến khâu tiêu thụ sản phẩm với quy mô tối thiểu từ 0,5 ha liền vùng, liền thửa trở lên</t>
  </si>
  <si>
    <t>10 triệu đồng/ha</t>
  </si>
  <si>
    <t>Hỗ trợ khảo sát thiết kế, ký kết hợp đồng liên kết trồng rừng gỗ nguyên liệu thâm canh và lâm sản ngoài gỗ</t>
  </si>
  <si>
    <t>Hỗ trợ doanh nghiệp khảo sát, lập hồ sơ thiết kế, ký kết hợp đồng liên kết với các tổ chức, hộ gia đình, cá nhân trồng rừng gỗ nguyên liệu thâm canh, lâm sản ngoài gỗ, dược liệu từ khâu trồng đến tiêu thụ sản phẩm</t>
  </si>
  <si>
    <t>Hỗ trợ bảo vệ, trồng bổ sung, làm giàu rừng tự nhiên là rừng sản xuất</t>
  </si>
  <si>
    <t>Hỗ trợ kinh phí bảo vệ rừng tự nhiên cho các hộ gia đình, cá nhân, cộng đồng dân cư thôn sau khi được giao đất giao rừng và kinh phí chi thường xuyên cho UBND xã để quản lý bảo vệ rừng tự nhiên hiện do xã quản lý</t>
  </si>
  <si>
    <t xml:space="preserve">Hỗ trợ kinh phí bảo vệ rừng tự nhiên cho các hộ gia đình, cá nhân, cộng đồng dân cư thôn sau khi được giao đất giao rừng </t>
  </si>
  <si>
    <t>72.000 lượt ha</t>
  </si>
  <si>
    <t>Hỗ trợ kinh phí chi thường xuyên cho UBND xã để quản lý bảo vệ rừng tự nhiên hiện do xã quản lý</t>
  </si>
  <si>
    <t>100.000 đồng/ha/năm</t>
  </si>
  <si>
    <t>36.000 lượt ha</t>
  </si>
  <si>
    <t xml:space="preserve">Hỗ trợ cây giống bản địa cho các tổ chức, hộ gia đình, cá nhân trồng bổ sung, làm giàu rừng tự nhiên là rừng sản xuất. </t>
  </si>
  <si>
    <t>3 triệu đồng/ha</t>
  </si>
  <si>
    <t>Tổng cộng</t>
  </si>
  <si>
    <t>Tổng cộng 
2019-2021</t>
  </si>
  <si>
    <t>Chính sách phát triển nấm ăn và nấm dược liệu</t>
  </si>
  <si>
    <t>Hỗ trợ mua giống nấm, bịch nấm</t>
  </si>
  <si>
    <t>Hỗ trợ kinh phí làm lán trại sản xuất nấm</t>
  </si>
  <si>
    <t>Hỗ trợ kinh phí mua máy móc, thiết bị sản xuất giống, chế biến</t>
  </si>
  <si>
    <t>Hỗ trợ kinh phí tuyên truyền, tập huấn, đào tạo, chuyển giao công nghệ, tiếp cận thị trường trong phát triển nấm</t>
  </si>
  <si>
    <t>Chính sách hỗ trợ phát triển công nghệ sinh học</t>
  </si>
  <si>
    <t>Hỗ trợ kinh phí thực hiện các nhiệm vụ ứng dụng công nghệ sinh học vào sản xuất, chế biến, xử lý môi trường, công tác giống cây trồng vật nuôi, cải tạo đất, chăm sóc bảo vệ sức khỏe cộng đồng, phòng chống có hiệu quả dịch bệnh cây trồng, vật nuôi, thủy sản, bảo quản chế biến nông sản phẩm.</t>
  </si>
  <si>
    <t>Hỗ trợ kinh phí thực nhiệm vụ nuôi cấy mô tế bào</t>
  </si>
  <si>
    <t>Hỗ trợ các tổ chức, cá nhân  kinh phí đầu tư máy móc, thiết bị phục vụ lĩnh vực công nghệ sinh học,</t>
  </si>
  <si>
    <t>Hỗ trợ kinh phí mua chế phẩm sinh học để sản xuất phân hữu cơ vi sinh, xử lý nước thải (có hệ thống xử lý đảm bảo),</t>
  </si>
  <si>
    <t>Hỗ trợ kinh phí tuyên truyền, tập huấn, đào tạo, chuyển giao công nghệ, tiếp cận thị trường trong ứng dụng và phát triển công nghệ sinh học.</t>
  </si>
  <si>
    <t>Vườn</t>
  </si>
  <si>
    <t>xã</t>
  </si>
  <si>
    <t>hộ</t>
  </si>
  <si>
    <t>Hộ</t>
  </si>
  <si>
    <t>CHÍNH SÁCH HỖ TRỢ CHƯƠNG TRÌNH MỖI XÃ MỘT SẢN PHẨM OCOP (CHÍNH SÁCH OCOP CHỈ 2 NĂM 2019,2020)</t>
  </si>
  <si>
    <t xml:space="preserve">Nội dung </t>
  </si>
  <si>
    <t>Tổng cộng 
2019-2020</t>
  </si>
  <si>
    <t>OCOP</t>
  </si>
  <si>
    <t>Hỗ trợ 30% kinh phí lập quy hoạch chi tiết hoặc lập dự án, phương án phát triển các sản phẩm tham gia Chương trình OCOP, nhưng tối đa không quá 200 triệu đồng/sản phẩm cho một tổ chức, cá nhân.</t>
  </si>
  <si>
    <t>Hỗ trợ 100% kinh phí gửi đi đào tạo quản trị, khởi nghiệp (CEO), đào tạo nghề cho lao động của các doanh nghiệp, HTX, THT, hộ gia đình có sản phẩm tham gia Chương trình OCOP, nhưng tối đa không quá 100 triệu đồng / tổ chức, 15 triệu đồng/cá nhân.</t>
  </si>
  <si>
    <t>Hỗ trợ 50% chi phí thuê các điểm giới thiệu, bán hàng OCOP tại các huyện, tại các điểm dừng xe trong tỉnh, nhưng tối đa không quá 100 triệu/điểm.</t>
  </si>
  <si>
    <t xml:space="preserve">Mức hỗ trợ (Triệu đồng) </t>
  </si>
  <si>
    <t>Tổng cộng 2019 - 2021</t>
  </si>
  <si>
    <t>Hỗ trợ Nuôi trồng thuỷ sản</t>
  </si>
  <si>
    <t>Hỗ trợ hệ thống xử lý môi trường</t>
  </si>
  <si>
    <t xml:space="preserve">Hàng năm ngân sách hỗ trợ cho các trại sản xuất giống thủy sản để thay thế, bổ sung 20% đàn cá bố mẹ. </t>
  </si>
  <si>
    <t>Khai thác thủy sản và hậu cần nghề cá</t>
  </si>
  <si>
    <t>Hỗ trợ chuyển đổi nghề khai thác thủy sản</t>
  </si>
  <si>
    <t>Tàu</t>
  </si>
  <si>
    <t>Hỗ trợ  kinh phí mua máy thông tin liên lạc tầm xa có tích hợp định vị vệ tinh (máy mới) cho các tàu cá có chiều dài lớn nhất từ 15 mét trở lên</t>
  </si>
  <si>
    <t xml:space="preserve">Hỗ trợ kinh phí đào tạo cấp chứng chỉ thuyền trưởng, máy trưởng và thuyền viên  tàu cá </t>
  </si>
  <si>
    <t>Chứng chỉ</t>
  </si>
  <si>
    <t>Bảo vệ và phát triển nguồn lợi thủy sản</t>
  </si>
  <si>
    <t>Hàng năm ngân sách bố trí 01 tỷ đồng để mua các loại giống thủy sản thả ra các hồ, đập, sông, biển để tái tạo và phát triển nguồn lợi thủy sản.</t>
  </si>
  <si>
    <t>UBND TỈNH HÀ TĨNH
SỞ CÔNG THƯƠNG</t>
  </si>
  <si>
    <t xml:space="preserve"> TỔNG CỘNG</t>
  </si>
  <si>
    <t xml:space="preserve">Chính sách phát triển thương mại nông thôn </t>
  </si>
  <si>
    <t>Chính sách phát triển thương mại nông thôn gắn với xây dựng nông thôn mới</t>
  </si>
  <si>
    <t>1.1</t>
  </si>
  <si>
    <t>Đối với đầu tư xây dựng và nâng cấp chợ</t>
  </si>
  <si>
    <t>a.</t>
  </si>
  <si>
    <t>Đối với việc đầu tư xây dựng mới</t>
  </si>
  <si>
    <t>chợ</t>
  </si>
  <si>
    <t>b.</t>
  </si>
  <si>
    <t>Đối với nâng cấp, mở rộng chợ</t>
  </si>
  <si>
    <t>1.2</t>
  </si>
  <si>
    <t>Đối với việc đầu tư xây dựng siêu thị mini và cửa hàng tiện lợi</t>
  </si>
  <si>
    <t>Đầu tư xây dựng siêu thị mini đạt chuẩn</t>
  </si>
  <si>
    <t>siêu thị mini</t>
  </si>
  <si>
    <t>Đầu tư xây dựng các cửa hàng tiện lợi,</t>
  </si>
  <si>
    <t>cửa hàng</t>
  </si>
  <si>
    <t>1.3</t>
  </si>
  <si>
    <t xml:space="preserve">Hỗ trợ kinh phí đào tạo, bồi dưỡng cấp chứng chỉ nghiệp vụ quản lý chợ cho cán bộ các doanh nghiệp, tổ chức quản lý, kinh doanh, khai thác chợ trên địa bàn tỉnh, tối đa 2 triệu đồng/01 học viên. </t>
  </si>
  <si>
    <t>học viên</t>
  </si>
  <si>
    <t>2.</t>
  </si>
  <si>
    <t>Đề xuất chính sách hỗ trợ xúc tiến thương mại và ứng dụng thương mại điện tử phục vụ tiêu thụ sản phẩm</t>
  </si>
  <si>
    <t>2.1</t>
  </si>
  <si>
    <t>Đợt</t>
  </si>
  <si>
    <t>2.2</t>
  </si>
  <si>
    <t>Tổ chức/cá nhân</t>
  </si>
  <si>
    <t>2.3</t>
  </si>
  <si>
    <t>2.4.</t>
  </si>
  <si>
    <t>Hỗ trợ tổ chức lễ hội, hội chợ, triển lãm:</t>
  </si>
  <si>
    <t xml:space="preserve">Hỗ trợ xã hội hóa tổ chức hội chợ, lễ hội: hỗ trợ doanh nghiệp tổ chức lễ hội, hội chợ nông đặc sản và sản phẩm TTCN làng nghề hàng năm quy mô cấp tỉnh, thời gian tổ chức 3-5 ngày theo chủ trương của UBND tỉnh, mức hỗ trợ tính trên số gian hàng sản phẩm nông nghiệp và sản phẩm TTCN làng nghề của các doanh nghiệp, hộ sản xuất kinh doanh trong tỉnh là 05 triệu đồng/01 gian hàng quy chuẩn.  </t>
  </si>
  <si>
    <t>Đối với các tổ chức có chức năng hoạt động xúc tiến thương mại được UBND tỉnh giao chủ trì để phối hợp với các doanh nghiệp, HTX, hộ cá thể trong tỉnh tham gia các hội chợ, triển lãm cho sản phẩm hàng hóa sản xuất, chế biến trong tỉnh được hỗ trợ kinh phí thuê gian hàng, thuê phòng nghỉ, phương tiện vận chuyển người và hàng hóa, lệ phí cửa khẩu, tối đa không quá 80 triệu đồng/lần tham gia đối với hội chợ, triển lãm được tổ chức trong nước; không quá 200 triệu đồng/lần tham gia đối với hội chợ, triển lãm được tổ chức tại nước ngoài.</t>
  </si>
  <si>
    <t>Đối với tổ chức, cá nhân sản xuất, kinh doanh: được Ủy ban nhân dân tỉnh đồng ý hoặc Sở Công Thương mời tham gia hội chợ, triển lãm trong và ngoài nước được hỗ trợ 50% kinh phí thuê gian hàng, thuê phòng nghỉ, phương tiện vận chuyển người và hàng hóa, lệ phí cửa khẩu, nhưng tối đa không quá không quá 20 triệu đồng/lần tham gia đối với hội chợ, triển lãm được tổ chức trong nước; không quá 40 triệu đồng/lần tham gia đối với hội chợ, triển lãm được tổ chức tại nước ngoài</t>
  </si>
  <si>
    <t>2.5</t>
  </si>
  <si>
    <t>Các tổ chức, cá nhân chế biến, tiêu thụ sản phẩm sản xuất trong tỉnh được hỗ trợ xây dựng, nâng cấp, duy trì website thương mại điện tử</t>
  </si>
  <si>
    <t xml:space="preserve">Xây dựng mới hoặc nâng cấp website thông tin, website thương mại điện tử: được hỗ trợ một lần bằng 50% tổng chi phí xây dựng, chuyển giao, nhưng không quá 25 triệu đồng/tổ chức, cá nhân; được hỗ trợ 50% chi phí duy trì tên miền, thuê không gian lưu trữ website cho năm tiếp theo, mức hỗ trợ không quá 2 triệu đồng/tổ chức, cá nhân/năm. </t>
  </si>
  <si>
    <t>Thuê gian hàng tại các sàn thương mại điện tử có uy tín trong và ngoài nước để giới thiệu, quảng bá, giao dịch được hỗ trợ 50% tổng chi phí thuê theo hợp đồng, nhưng không quá 25 triệu đồng/tổ chức, cá nhân/năm; Hỗ trợ tối đa 02 năm.</t>
  </si>
  <si>
    <t>2.6</t>
  </si>
  <si>
    <t>Các tổ chức, cá nhân được hỗ trợ quảng bá, giới thiệu, thực hiện mở các gian hàng và giao dịch thương mại điện tử miễn phí trên sàn thương mại điện tử của tỉnh.</t>
  </si>
  <si>
    <t>2.7</t>
  </si>
  <si>
    <t>Tổ chức có sàn giao dịch thương mại điện tử các sản phẩm nông nghiệp, công nghiệp nông thôn với lượng hàng có xuất xứ Hà Tĩnh trên 50%  và có hệ thống cơ sở vật chất (nhà xưởng, kho bãi phục vụ cho hoạt động của sàn) được hỗ trợ 30% trên tổng mức đầu tư mới, nhưng tối đa không quá 2 tỷ đồng/tổ chức.</t>
  </si>
  <si>
    <t>NGÂN HÀNG NHÀ NƯỚC VIỆT NAM</t>
  </si>
  <si>
    <t xml:space="preserve">    CHI NHÁNH TỈNH HÀ TĨNH</t>
  </si>
  <si>
    <t>ĐVT: Tỷ đồng</t>
  </si>
  <si>
    <t>Mức hỗ trợ ls
(%)</t>
  </si>
  <si>
    <t>Doanh số cho vay</t>
  </si>
  <si>
    <t xml:space="preserve">Kinh 
phí hỗ trợ  </t>
  </si>
  <si>
    <t>Tổng Doanh số cho vay HTLS</t>
  </si>
  <si>
    <t xml:space="preserve"> Phần dư nợ theo NQ 32 tiếp tục được hỗ trợ đến hết thời gian HTLS (dư nợ: 27.000 triệu đồng)</t>
  </si>
  <si>
    <t xml:space="preserve">Khách hàng vay vốn ngắn hạn đáp ứng nhu cầu vốn lưu động </t>
  </si>
  <si>
    <t xml:space="preserve"> Các khách hàng vay vốn trung hạn </t>
  </si>
  <si>
    <t>Các khách hàng vay vốn dài hạn</t>
  </si>
  <si>
    <r>
      <rPr>
        <b/>
        <u val="single"/>
        <sz val="12"/>
        <rFont val="Times New Roman"/>
        <family val="1"/>
      </rPr>
      <t>Ghi chú:</t>
    </r>
    <r>
      <rPr>
        <b/>
        <i/>
        <sz val="12"/>
        <rFont val="Times New Roman"/>
        <family val="1"/>
      </rPr>
      <t xml:space="preserve"> Cơ sở tính toán các phương án dự kiến là dựa trên số liệu thực hiện các năm:</t>
    </r>
  </si>
  <si>
    <t xml:space="preserve"> - Về tăng trưởng tín dụng hàng năm, cơ cấu tín dụng: số liệu thực hiện từ 2012 đến nay</t>
  </si>
  <si>
    <t xml:space="preserve"> - Về cho vay hỗ trợ lãi suất, cơ cấu cho vay hỗ trợ lãi suất: lấy số liệu từ 2012 đến 2016 (trong giai đoạn HTLS theo QĐ 26,23)</t>
  </si>
  <si>
    <t xml:space="preserve"> - Mức lãi suất chung tại thời điểm năm 2018: ngắn hạn bình quân: 7,3%, trung, dài hạn bình quân: 10,5%</t>
  </si>
  <si>
    <t xml:space="preserve"> - Doanh số cho vay bình quân 3 năm (2016-2018): 62.000 tỷ đồng, trong đó doanh số cho vay NN, NT chiếm 62% (70% là ngắn hạn, 30% là trung, dài hạn), tốc độ tăng trưởng doanh số cho vay NN, NT hàng năm (2019-2021) khoảng 25%</t>
  </si>
  <si>
    <t xml:space="preserve"> - Doanh số cho vay HTLS (theo cơ cấu thực hiện giai đoạn 2012-2016), trong đó: </t>
  </si>
  <si>
    <t xml:space="preserve">  + Ngắn hạn chiếm khoảng 6% doanh số cho vay NN,NT ngắn hạn</t>
  </si>
  <si>
    <t xml:space="preserve"> + Trung hạn chiếm khoảng 2% doanh số cho vay NN,NT trung dài hạn</t>
  </si>
  <si>
    <t xml:space="preserve"> + Dài hạn chiếm khoảng 2% doanh số cho vay NN, NT trung dài hạn</t>
  </si>
  <si>
    <t>Hỗ trợ xây dựng mô hình hợp tác xã công nghệ cao</t>
  </si>
  <si>
    <t>MH</t>
  </si>
  <si>
    <r>
      <t>H</t>
    </r>
    <r>
      <rPr>
        <sz val="11"/>
        <rFont val="Times New Roman"/>
        <family val="1"/>
      </rPr>
      <t>ỗ trợ 50% chi phí tổ chức các phiên chợ, hoạt động bán hàng, thực hiện các chương trình đưa sản phẩm của tỉnh kết hợp đưa hàng Việt về bán ở địa bàn nông thôn, miền núi, vùng sâu, vùng xa, mức hỗ trợ tối đa không quá 30 triệu đồng/01 đợt bán hàng từ 02 ngày trở lên; quy mô tối thiểu trên 10 gian hàng tiêu chuẩn/phiên chợ.</t>
    </r>
  </si>
  <si>
    <t>Các tổ chức, cá nhân trực tiếp tiêu thụ sản phẩm do mình sản xuất hoặc hợp đồng liên kết tiêu thụ sản phẩm sản xuất trong tỉnh từ 02 năm trở lên, thực hiện tìm kiếm, ký kết và đưa hàng hóa vào bán trong các siêu thị, hệ thống phân phối lớn, với mức tiêu thụ tối thiểu 01 tỷ đồng/năm, được hỗ trợ kinh phí xúc tiến thương mại tối đa bằng 2% tính trên giá trị sản phẩm, hàng hóa thực tế đã tiêu thụ trong siêu thị hoặc hệ thống phân phối, nhưng không quá 200 triệu đồng/tổ chức, cá nhân/năm.</t>
  </si>
  <si>
    <t>Các tổ chức, cá nhân sản xuất, chế biến, tiêu thụ sản phẩm trong tỉnh có doanh thu tối thiểu 01 tỷ đồng/năm, được hỗ trợ 30% chi phí bao bì, đóng gói sản phẩm hàng hóa (thiết kế, in ấn, sản xuất bao bì, nhãn mác, giấy hộp đóng gói), nhưng tối đa 150 triệu đồng/tổ chức, cá nhân/năm.</t>
  </si>
  <si>
    <t>A</t>
  </si>
  <si>
    <t>PHẦN CHÍNH SÁCH HỖ TRỢ</t>
  </si>
  <si>
    <t>B</t>
  </si>
  <si>
    <t>PHẦN CƠ CHẾ HỖ TRỢ</t>
  </si>
  <si>
    <t>Tổ</t>
  </si>
  <si>
    <t>Cơ chế hỗ trợ xi măng làm giao thông nông thôn, kênh mương nội đồng</t>
  </si>
  <si>
    <t>giảm</t>
  </si>
  <si>
    <t>b) Hỗ trợ tổ chức, cá nhân kinh phí quản lý, chăm sóc, bảo vệ, theo dõi cây đầu dòng cam bù, cam chanh, bưởi Phúc Trạch, quýt khốp với mức 01 triệu đồng/cây/năm.</t>
  </si>
  <si>
    <t>100%, tối đa 300 triệu đồng/loại cây</t>
  </si>
  <si>
    <t xml:space="preserve">c) Hỗ trợ một lần 50% kinh phí đầu tư máy móc, vật tư, thiết bị xây dựng hệ thống tưới tiên tiến, tiết kiệm nước </t>
  </si>
  <si>
    <t xml:space="preserve">a) Hỗ trợ 100% kinh phí bình tuyển cây đầu dòng cam bù, cam chanh, bưởi Phúc Trạch, không quá 300 triệu đồng/loại cây. </t>
  </si>
  <si>
    <t xml:space="preserve">d) Các tổ chức, cá nhân sản xuất cam bù, cam chanh, bưởi Phúc Trạch quy mô tối thiểu cấp chứng nhận 5ha (không nhất thiết liền vùng, phạm vị quy mô tính trong thôn) được hỗ trợ một lần 100% kinh phí thực hiện chứng nhận đạt tiêu chuẩn VietGAP, tối đa 100 triệu đồng/tổ chức, cá nhân. </t>
  </si>
  <si>
    <t>30%, tối đa 25 triệu đồng/ha</t>
  </si>
  <si>
    <t>tối đa 100 triệu đồng/cơ sở</t>
  </si>
  <si>
    <t>e) Các tổ chức cá nhân đầu tư xây dựng kho bảo quả sản phẩm cam bù, cam chanh, bưởi Phúc Trạch sử dụng một trong các công nghệ</t>
  </si>
  <si>
    <t>30%, tối đa 01 tỷ đồng/cơ sở</t>
  </si>
  <si>
    <t xml:space="preserve">Cây chè công nghiệp: Các tổ chức, cá nhân đầu tư trồng mới chè công nghiệp liên kết (tối thiểu phải liên kết 2 khâu giống và tiêu thụ sản phẩm) </t>
  </si>
  <si>
    <t>b. Hỗ trợ 800 đồng/bầu đối với các giống chè dâm cành năng suất, chất lượng cao (định mức 18.000 bầu/ha).</t>
  </si>
  <si>
    <t>Tổ chức, cá nhân thuê đất sản xuất cây hằng năm của người dân để hình thành vùng sản xuất tập trung quy mô tối thiểu đối với lúa 5 ha/vùng liền thửa, đối với cây trồng cạn hàng năm 02 ha/vùng liền thửa, thời hạn thuê đất 5 năm trở lên, được hỗ trợ kinh phí thuê đất, quy hoạch trong 03 năm đầu, không quá 20 triệu đồng/ha/năm, thời gian được tính hỗ trợ hàng năm.</t>
  </si>
  <si>
    <t>Chính sách hợp tác, liên kết</t>
  </si>
  <si>
    <t xml:space="preserve">Các dự án liên kết trong sản xuất và tiêu thụ sản phẩm được cấp có thẩm quyền phê duyệt thực hiện theo quy định tại Nghị định 98/2018/NĐ-CP ngày 05/7/2018 của Chính phủ </t>
  </si>
  <si>
    <t>300 trđ/MH</t>
  </si>
  <si>
    <t>tối đa 20 triệu 
đồng/ha</t>
  </si>
  <si>
    <t>DỰ TOÁN KINH PHÍ XÂY DỰNG CHÍNH SÁCH NÔNG NGHIỆP, NÔNG THÔN (TRỒNG TRỌT)
VÀ XÂY DỰNG NÔNG THÔN MỚI NĂM 2019-2021</t>
  </si>
  <si>
    <t>DỰ TOÁN KINH PHÍ XÂY DỰNG CHÍNH SÁCH NÔNG NGHIỆP, NÔNG THÔN 
VÀ XÂY DỰNG NÔNG THÔN MỚI NĂM 2019-2021 (CHĂN NUÔI)</t>
  </si>
  <si>
    <t>DỰ TOÁN KINH PHÍ XÂY DỰNG CHÍNH SÁCH NÔNG NGHIỆP, NÔNG THÔN 
VÀ XÂY DỰNG NÔNG THÔN MỚI NĂM 2019-2021 (THỦY SẢN)</t>
  </si>
  <si>
    <t>DỰ TOÁN KINH PHÍ XÂY DỰNG CHÍNH SÁCH NÔNG NGHIỆP, NÔNG THÔN 
VÀ XÂY DỰNG NÔNG THÔN MỚI NĂM 2019-2021 (LÂM NGHIỆP)</t>
  </si>
  <si>
    <t>DỰ TOÁN KINH PHÍ XÂY DỰNG CHÍNH SÁCH NÔNG NGHIỆP, NÔNG THÔN 
VÀ XÂY DỰNG NÔNG THÔN MỚI NĂM 2019-2021 (KHOA HỌC CÔNG NGHỆ)</t>
  </si>
  <si>
    <t>50 triệu đồng/tổ</t>
  </si>
  <si>
    <t>Hỗ trợ chi phí hoạt động cho các tổ chức cộng đồng bảo vệ nguồn lợi thủy sản ven bờ</t>
  </si>
  <si>
    <t>DỰ TOÁN KINH PHÍ XÂY DỰNG CHÍNH SÁCH NÔNG NGHIỆP, NÔNG THÔN 
VÀ XÂY DỰNG NÔNG THÔN MỚI NĂM 2019-2021 (NÔNG THÔN MỚI)</t>
  </si>
  <si>
    <t>Trồng trọt</t>
  </si>
  <si>
    <t>Hỗ trợ xi măng làm giao thông nông thôn, rãnh thoát nước, kênh mương nội đồng</t>
  </si>
  <si>
    <t>TỔNG HỢP DỰ TOÁN KINH PHÍ XÂY DỰNG CHÍNH SÁCH NÔNG NGHIỆP, NÔNG THÔN 
VÀ CƠ CHẾ XÂY DỰNG NÔNG THÔN MỚI, ĐÔ THỊ HÀ TĨNH NĂM 2019-2020</t>
  </si>
  <si>
    <t>Tổng cộng 2019-2020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</si>
</sst>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0\ _₫_-;\-* #,##0.00\ _₫_-;_-* &quot;-&quot;??\ _₫_-;_-@_-"/>
    <numFmt numFmtId="178" formatCode="_(* #,##0.0_);_(* \(#,##0.0\);_(* &quot;-&quot;??_);_(@_)"/>
    <numFmt numFmtId="179" formatCode="_-* #,##0\ _₫_-;\-* #,##0\ _₫_-;_-* &quot;-&quot;??\ _₫_-;_-@_-"/>
    <numFmt numFmtId="180" formatCode="#,##0.0"/>
    <numFmt numFmtId="181" formatCode="_(* #,##0.0_);_(* \(#,##0.0\);_(* &quot;-&quot;?_);_(@_)"/>
    <numFmt numFmtId="182" formatCode="_(* #,##0.000_);_(* \(#,##0.000\);_(* &quot;-&quot;??_);_(@_)"/>
  </numFmts>
  <fonts count="65">
    <font>
      <sz val="12"/>
      <name val="Times New Roman"/>
      <family val="1"/>
    </font>
    <font>
      <sz val="12"/>
      <color indexed="8"/>
      <name val="Times New Roman"/>
      <family val="2"/>
    </font>
    <font>
      <u val="single"/>
      <sz val="8.4"/>
      <color indexed="12"/>
      <name val="Times New Roman"/>
      <family val="1"/>
    </font>
    <font>
      <b/>
      <sz val="12"/>
      <name val="Times New Roman"/>
      <family val="1"/>
    </font>
    <font>
      <b/>
      <i/>
      <sz val="12"/>
      <name val="Times New Roman"/>
      <family val="1"/>
    </font>
    <font>
      <i/>
      <sz val="12"/>
      <name val="Times New Roman"/>
      <family val="1"/>
    </font>
    <font>
      <b/>
      <sz val="11"/>
      <name val="Times New Roman"/>
      <family val="1"/>
    </font>
    <font>
      <sz val="11"/>
      <name val="Times New Roman"/>
      <family val="1"/>
    </font>
    <font>
      <i/>
      <sz val="11"/>
      <name val="Times New Roman"/>
      <family val="1"/>
    </font>
    <font>
      <sz val="10.5"/>
      <name val="Times New Roman"/>
      <family val="1"/>
    </font>
    <font>
      <b/>
      <sz val="10.5"/>
      <name val="Times New Roman"/>
      <family val="1"/>
    </font>
    <font>
      <i/>
      <sz val="10.5"/>
      <name val="Times New Roman"/>
      <family val="1"/>
    </font>
    <font>
      <b/>
      <sz val="13"/>
      <name val="Times New Roman"/>
      <family val="1"/>
    </font>
    <font>
      <b/>
      <u val="single"/>
      <sz val="12"/>
      <name val="Times New Roman"/>
      <family val="1"/>
    </font>
    <font>
      <u val="single"/>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1"/>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9"/>
      <color indexed="8"/>
      <name val="Arial"/>
      <family val="2"/>
    </font>
    <font>
      <b/>
      <sz val="9"/>
      <color indexed="8"/>
      <name val="Arial"/>
      <family val="2"/>
    </font>
    <font>
      <sz val="14"/>
      <color indexed="8"/>
      <name val="Times New Roman"/>
      <family val="1"/>
    </font>
    <font>
      <sz val="10.5"/>
      <color indexed="8"/>
      <name val="Times New Roman"/>
      <family val="1"/>
    </font>
    <font>
      <sz val="10.5"/>
      <color indexed="10"/>
      <name val="Times New Roman"/>
      <family val="1"/>
    </font>
    <font>
      <b/>
      <sz val="11"/>
      <color indexed="10"/>
      <name val="Times New Roman"/>
      <family val="1"/>
    </font>
    <font>
      <sz val="11"/>
      <color indexed="10"/>
      <name val="Times New Roman"/>
      <family val="1"/>
    </font>
    <font>
      <b/>
      <u val="singleAccounting"/>
      <sz val="11"/>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9"/>
      <color rgb="FF000000"/>
      <name val="Arial"/>
      <family val="2"/>
    </font>
    <font>
      <b/>
      <sz val="9"/>
      <color rgb="FF000000"/>
      <name val="Arial"/>
      <family val="2"/>
    </font>
    <font>
      <sz val="14"/>
      <color rgb="FF000000"/>
      <name val="Times New Roman"/>
      <family val="1"/>
    </font>
    <font>
      <sz val="10.5"/>
      <color theme="1"/>
      <name val="Times New Roman"/>
      <family val="1"/>
    </font>
    <font>
      <sz val="10.5"/>
      <color rgb="FFFF0000"/>
      <name val="Times New Roman"/>
      <family val="1"/>
    </font>
    <font>
      <b/>
      <sz val="11"/>
      <color rgb="FFFF000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style="thin"/>
      <bottom style="thin"/>
    </border>
    <border>
      <left/>
      <right/>
      <top/>
      <bottom style="thin"/>
    </border>
    <border>
      <left>
        <color indexed="63"/>
      </left>
      <right style="thin"/>
      <top style="thin"/>
      <bottom style="thin"/>
    </border>
    <border>
      <left style="thin"/>
      <right style="thin"/>
      <top style="thin"/>
      <bottom style="hair"/>
    </border>
    <border>
      <left style="thin"/>
      <right style="thin"/>
      <top style="thin"/>
      <bottom/>
    </border>
    <border>
      <left style="thin"/>
      <right style="thin"/>
      <top>
        <color indexed="63"/>
      </top>
      <bottom style="hair"/>
    </border>
    <border>
      <left style="thin"/>
      <right style="thin"/>
      <top/>
      <bottom style="thin"/>
    </border>
    <border>
      <left style="thin"/>
      <right style="thin"/>
      <top style="dotted"/>
      <bottom style="thin"/>
    </border>
    <border>
      <left style="thin"/>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40"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0" fillId="32" borderId="7" applyNumberFormat="0" applyFont="0" applyAlignment="0" applyProtection="0"/>
    <xf numFmtId="0" fontId="54" fillId="27" borderId="8" applyNumberFormat="0" applyAlignment="0" applyProtection="0"/>
    <xf numFmtId="9" fontId="4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00">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horizontal="left"/>
    </xf>
    <xf numFmtId="172" fontId="0" fillId="0" borderId="0" xfId="42" applyNumberFormat="1" applyFont="1" applyFill="1" applyAlignment="1">
      <alignment horizontal="center"/>
    </xf>
    <xf numFmtId="0" fontId="0" fillId="0" borderId="10" xfId="0" applyFont="1" applyFill="1" applyBorder="1" applyAlignment="1">
      <alignment horizontal="left"/>
    </xf>
    <xf numFmtId="172" fontId="0" fillId="0" borderId="10" xfId="42" applyNumberFormat="1" applyFont="1" applyFill="1" applyBorder="1" applyAlignment="1">
      <alignment horizontal="center"/>
    </xf>
    <xf numFmtId="0" fontId="0" fillId="0" borderId="10" xfId="0" applyFont="1" applyFill="1" applyBorder="1" applyAlignment="1">
      <alignment horizontal="left" wrapText="1"/>
    </xf>
    <xf numFmtId="172" fontId="0" fillId="0" borderId="11" xfId="42" applyNumberFormat="1" applyFont="1" applyFill="1" applyBorder="1" applyAlignment="1">
      <alignment horizontal="center"/>
    </xf>
    <xf numFmtId="43" fontId="3" fillId="0" borderId="0" xfId="42" applyFont="1" applyFill="1" applyBorder="1" applyAlignment="1">
      <alignment horizontal="center" vertical="center" wrapText="1"/>
    </xf>
    <xf numFmtId="172" fontId="3" fillId="0" borderId="0" xfId="42" applyNumberFormat="1" applyFont="1" applyFill="1" applyBorder="1" applyAlignment="1">
      <alignment horizontal="center" vertical="center" wrapText="1"/>
    </xf>
    <xf numFmtId="178" fontId="3" fillId="0" borderId="0" xfId="42" applyNumberFormat="1" applyFont="1" applyFill="1" applyBorder="1" applyAlignment="1">
      <alignment horizontal="center" vertical="center" wrapText="1"/>
    </xf>
    <xf numFmtId="172" fontId="0" fillId="0" borderId="0" xfId="42" applyNumberFormat="1" applyFont="1" applyFill="1" applyBorder="1" applyAlignment="1">
      <alignment horizontal="center" vertical="center" wrapText="1"/>
    </xf>
    <xf numFmtId="0" fontId="3" fillId="0" borderId="0" xfId="0" applyFont="1" applyFill="1" applyAlignment="1">
      <alignment horizontal="center" wrapText="1"/>
    </xf>
    <xf numFmtId="0" fontId="5" fillId="0" borderId="0" xfId="0" applyFont="1" applyFill="1" applyAlignment="1">
      <alignment wrapText="1"/>
    </xf>
    <xf numFmtId="0" fontId="5" fillId="0" borderId="0" xfId="0" applyFont="1" applyFill="1" applyBorder="1" applyAlignment="1">
      <alignment horizont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172" fontId="3" fillId="0" borderId="12" xfId="42" applyNumberFormat="1"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2" xfId="0" applyFont="1" applyFill="1" applyBorder="1" applyAlignment="1">
      <alignment/>
    </xf>
    <xf numFmtId="0" fontId="3" fillId="0" borderId="10" xfId="0" applyFont="1" applyFill="1" applyBorder="1" applyAlignment="1">
      <alignment horizontal="center" wrapText="1"/>
    </xf>
    <xf numFmtId="0" fontId="3" fillId="0" borderId="10" xfId="0" applyFont="1" applyFill="1" applyBorder="1" applyAlignment="1">
      <alignment horizontal="left" wrapText="1"/>
    </xf>
    <xf numFmtId="172" fontId="3" fillId="0" borderId="10" xfId="42" applyNumberFormat="1" applyFont="1" applyFill="1" applyBorder="1" applyAlignment="1">
      <alignment horizontal="center" wrapText="1"/>
    </xf>
    <xf numFmtId="0" fontId="0" fillId="0" borderId="10" xfId="0" applyFont="1" applyFill="1" applyBorder="1" applyAlignment="1">
      <alignment horizontal="center"/>
    </xf>
    <xf numFmtId="0" fontId="0" fillId="0" borderId="10" xfId="0" applyFont="1" applyFill="1" applyBorder="1" applyAlignment="1">
      <alignment horizontal="center" vertical="center"/>
    </xf>
    <xf numFmtId="0" fontId="0" fillId="33" borderId="10" xfId="0" applyFont="1" applyFill="1" applyBorder="1" applyAlignment="1">
      <alignment vertical="center" wrapText="1"/>
    </xf>
    <xf numFmtId="0" fontId="0" fillId="0" borderId="0" xfId="0" applyFont="1" applyFill="1" applyAlignment="1">
      <alignment/>
    </xf>
    <xf numFmtId="0" fontId="0" fillId="0" borderId="10" xfId="0" applyFont="1" applyFill="1" applyBorder="1" applyAlignment="1">
      <alignment horizontal="center"/>
    </xf>
    <xf numFmtId="172" fontId="0" fillId="0" borderId="10" xfId="42" applyNumberFormat="1" applyFont="1" applyFill="1" applyBorder="1" applyAlignment="1">
      <alignment horizontal="right" vertical="center"/>
    </xf>
    <xf numFmtId="0" fontId="0" fillId="0" borderId="11" xfId="0" applyFont="1" applyFill="1" applyBorder="1" applyAlignment="1">
      <alignment horizontal="center"/>
    </xf>
    <xf numFmtId="0" fontId="0" fillId="0" borderId="11" xfId="0" applyFont="1" applyFill="1" applyBorder="1" applyAlignment="1">
      <alignment horizontal="left" wrapText="1"/>
    </xf>
    <xf numFmtId="172" fontId="40" fillId="0" borderId="11" xfId="42" applyNumberFormat="1" applyFont="1" applyFill="1" applyBorder="1" applyAlignment="1">
      <alignment horizontal="center" wrapText="1"/>
    </xf>
    <xf numFmtId="0" fontId="0" fillId="0" borderId="10" xfId="0" applyFont="1" applyBorder="1" applyAlignment="1">
      <alignment wrapText="1"/>
    </xf>
    <xf numFmtId="172" fontId="0" fillId="0" borderId="10" xfId="42" applyNumberFormat="1" applyFont="1" applyFill="1" applyBorder="1" applyAlignment="1">
      <alignment horizontal="center"/>
    </xf>
    <xf numFmtId="172" fontId="0" fillId="0" borderId="10" xfId="42" applyNumberFormat="1" applyFont="1" applyFill="1" applyBorder="1" applyAlignment="1">
      <alignment horizontal="center" wrapText="1"/>
    </xf>
    <xf numFmtId="0" fontId="0"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172" fontId="6" fillId="0" borderId="12" xfId="0" applyNumberFormat="1" applyFont="1" applyFill="1" applyBorder="1" applyAlignment="1">
      <alignment horizontal="center" vertical="center" wrapText="1"/>
    </xf>
    <xf numFmtId="0" fontId="7" fillId="0" borderId="12" xfId="0" applyFont="1" applyFill="1" applyBorder="1" applyAlignment="1">
      <alignment/>
    </xf>
    <xf numFmtId="172" fontId="6" fillId="0" borderId="12" xfId="42" applyNumberFormat="1" applyFont="1" applyFill="1" applyBorder="1" applyAlignment="1">
      <alignment horizontal="center" vertical="center" wrapText="1"/>
    </xf>
    <xf numFmtId="0" fontId="6" fillId="0" borderId="12" xfId="0" applyFont="1" applyFill="1" applyBorder="1" applyAlignment="1">
      <alignment horizontal="center" vertical="center"/>
    </xf>
    <xf numFmtId="172" fontId="7" fillId="0" borderId="12" xfId="42" applyNumberFormat="1" applyFont="1" applyFill="1" applyBorder="1" applyAlignment="1">
      <alignment horizontal="center" vertical="center"/>
    </xf>
    <xf numFmtId="172" fontId="6" fillId="0" borderId="12" xfId="42" applyNumberFormat="1" applyFont="1" applyFill="1" applyBorder="1" applyAlignment="1">
      <alignment horizontal="center" vertical="center"/>
    </xf>
    <xf numFmtId="179" fontId="6" fillId="0" borderId="12" xfId="0" applyNumberFormat="1" applyFont="1" applyFill="1" applyBorder="1" applyAlignment="1">
      <alignment horizontal="center" vertical="center"/>
    </xf>
    <xf numFmtId="9" fontId="6"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9" fontId="7" fillId="0" borderId="12" xfId="0" applyNumberFormat="1" applyFont="1" applyFill="1" applyBorder="1" applyAlignment="1">
      <alignment horizontal="center" vertical="center" wrapText="1"/>
    </xf>
    <xf numFmtId="0" fontId="6" fillId="33" borderId="12" xfId="0" applyFont="1" applyFill="1" applyBorder="1" applyAlignment="1">
      <alignment horizontal="center"/>
    </xf>
    <xf numFmtId="0" fontId="7" fillId="0" borderId="12" xfId="0" applyFont="1" applyFill="1" applyBorder="1" applyAlignment="1">
      <alignment horizontal="center"/>
    </xf>
    <xf numFmtId="172" fontId="7" fillId="0" borderId="12" xfId="42" applyNumberFormat="1" applyFont="1" applyFill="1" applyBorder="1" applyAlignment="1">
      <alignment horizontal="center"/>
    </xf>
    <xf numFmtId="0" fontId="6" fillId="0" borderId="12" xfId="0" applyFont="1" applyFill="1" applyBorder="1" applyAlignment="1">
      <alignment horizontal="center"/>
    </xf>
    <xf numFmtId="0" fontId="6" fillId="0" borderId="0" xfId="0" applyFont="1" applyFill="1" applyAlignment="1">
      <alignment horizontal="center"/>
    </xf>
    <xf numFmtId="0" fontId="7" fillId="0" borderId="0" xfId="0" applyFont="1" applyFill="1" applyAlignment="1">
      <alignment horizontal="left"/>
    </xf>
    <xf numFmtId="172" fontId="7" fillId="0" borderId="0" xfId="42" applyNumberFormat="1" applyFont="1" applyFill="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justify"/>
    </xf>
    <xf numFmtId="0" fontId="7" fillId="0" borderId="0" xfId="0" applyFont="1" applyFill="1" applyAlignment="1">
      <alignment horizontal="justify"/>
    </xf>
    <xf numFmtId="0" fontId="6" fillId="0" borderId="0" xfId="0" applyFont="1" applyFill="1" applyAlignment="1">
      <alignment horizontal="center" wrapText="1"/>
    </xf>
    <xf numFmtId="0" fontId="7" fillId="0" borderId="0" xfId="0" applyFont="1" applyFill="1" applyBorder="1" applyAlignment="1">
      <alignment/>
    </xf>
    <xf numFmtId="0" fontId="8" fillId="0" borderId="0" xfId="0" applyFont="1" applyFill="1" applyAlignment="1">
      <alignment wrapText="1"/>
    </xf>
    <xf numFmtId="0" fontId="8" fillId="0" borderId="13" xfId="0" applyFont="1" applyFill="1" applyBorder="1" applyAlignment="1">
      <alignment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left" vertical="center" wrapText="1"/>
    </xf>
    <xf numFmtId="3" fontId="6" fillId="0" borderId="15" xfId="42" applyNumberFormat="1" applyFont="1" applyFill="1" applyBorder="1" applyAlignment="1">
      <alignment horizontal="right" vertical="center" wrapText="1"/>
    </xf>
    <xf numFmtId="3" fontId="6" fillId="0" borderId="12" xfId="42" applyNumberFormat="1" applyFont="1" applyFill="1" applyBorder="1" applyAlignment="1">
      <alignment horizontal="right" vertical="center" wrapText="1"/>
    </xf>
    <xf numFmtId="3" fontId="6" fillId="0" borderId="16" xfId="42" applyNumberFormat="1" applyFont="1" applyFill="1" applyBorder="1" applyAlignment="1">
      <alignment horizontal="right" vertical="center" wrapText="1"/>
    </xf>
    <xf numFmtId="0" fontId="7" fillId="0" borderId="12" xfId="0" applyFont="1" applyFill="1" applyBorder="1" applyAlignment="1">
      <alignment horizontal="justify" vertical="center"/>
    </xf>
    <xf numFmtId="0" fontId="7" fillId="0" borderId="12" xfId="0" applyFont="1" applyFill="1" applyBorder="1" applyAlignment="1">
      <alignment horizontal="right" vertical="center"/>
    </xf>
    <xf numFmtId="3" fontId="7" fillId="0" borderId="12" xfId="0" applyNumberFormat="1" applyFont="1" applyFill="1" applyBorder="1" applyAlignment="1">
      <alignment horizontal="right" vertical="center" wrapText="1"/>
    </xf>
    <xf numFmtId="0" fontId="7" fillId="0" borderId="14" xfId="0" applyFont="1" applyFill="1" applyBorder="1" applyAlignment="1">
      <alignment/>
    </xf>
    <xf numFmtId="0" fontId="6" fillId="0" borderId="12" xfId="0" applyFont="1" applyFill="1" applyBorder="1" applyAlignment="1">
      <alignment horizontal="justify" vertical="center"/>
    </xf>
    <xf numFmtId="0" fontId="6" fillId="0" borderId="12" xfId="0" applyFont="1" applyFill="1" applyBorder="1" applyAlignment="1">
      <alignment horizontal="right" vertical="center"/>
    </xf>
    <xf numFmtId="3" fontId="6" fillId="0" borderId="12" xfId="0" applyNumberFormat="1" applyFont="1" applyFill="1" applyBorder="1" applyAlignment="1">
      <alignment horizontal="right" vertical="center"/>
    </xf>
    <xf numFmtId="0" fontId="6" fillId="0" borderId="0" xfId="0" applyFont="1" applyFill="1" applyBorder="1" applyAlignment="1">
      <alignment/>
    </xf>
    <xf numFmtId="0" fontId="6" fillId="0" borderId="14" xfId="0" applyFont="1" applyFill="1" applyBorder="1" applyAlignment="1">
      <alignment/>
    </xf>
    <xf numFmtId="0" fontId="6" fillId="0" borderId="12" xfId="0" applyFont="1" applyFill="1" applyBorder="1" applyAlignment="1">
      <alignment/>
    </xf>
    <xf numFmtId="0" fontId="7" fillId="0" borderId="12" xfId="0" applyFont="1" applyFill="1" applyBorder="1" applyAlignment="1">
      <alignment horizontal="justify" vertical="center"/>
    </xf>
    <xf numFmtId="0" fontId="7" fillId="0" borderId="12" xfId="0" applyFont="1" applyFill="1" applyBorder="1" applyAlignment="1">
      <alignment horizontal="center" vertical="center" wrapText="1"/>
    </xf>
    <xf numFmtId="3" fontId="7" fillId="0" borderId="12" xfId="0" applyNumberFormat="1" applyFont="1" applyFill="1" applyBorder="1" applyAlignment="1">
      <alignment horizontal="right" vertical="center"/>
    </xf>
    <xf numFmtId="0" fontId="6" fillId="0" borderId="12" xfId="0" applyFont="1" applyFill="1" applyBorder="1" applyAlignment="1">
      <alignment vertical="center"/>
    </xf>
    <xf numFmtId="0" fontId="6" fillId="0" borderId="12" xfId="0" applyFont="1" applyFill="1" applyBorder="1" applyAlignment="1">
      <alignment wrapText="1"/>
    </xf>
    <xf numFmtId="3" fontId="6" fillId="0" borderId="12" xfId="0" applyNumberFormat="1" applyFont="1" applyFill="1" applyBorder="1" applyAlignment="1">
      <alignment horizontal="right" vertical="center" wrapText="1"/>
    </xf>
    <xf numFmtId="0" fontId="7" fillId="0" borderId="12" xfId="0" applyFont="1" applyFill="1" applyBorder="1" applyAlignment="1" quotePrefix="1">
      <alignment horizontal="left" vertical="center" wrapText="1"/>
    </xf>
    <xf numFmtId="3" fontId="7" fillId="0" borderId="12" xfId="42" applyNumberFormat="1" applyFont="1" applyFill="1" applyBorder="1" applyAlignment="1">
      <alignment horizontal="right" vertical="center" wrapText="1"/>
    </xf>
    <xf numFmtId="0" fontId="6" fillId="0" borderId="0"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vertical="center" wrapText="1"/>
    </xf>
    <xf numFmtId="172" fontId="6" fillId="0" borderId="12" xfId="0" applyNumberFormat="1" applyFont="1" applyFill="1" applyBorder="1" applyAlignment="1">
      <alignment horizontal="center" vertical="center"/>
    </xf>
    <xf numFmtId="0" fontId="7" fillId="0" borderId="12" xfId="0" applyFont="1" applyFill="1" applyBorder="1" applyAlignment="1" quotePrefix="1">
      <alignment horizontal="center" vertical="center"/>
    </xf>
    <xf numFmtId="0" fontId="7" fillId="0" borderId="12" xfId="0" applyFont="1" applyFill="1" applyBorder="1" applyAlignment="1">
      <alignment horizontal="left" vertical="center" wrapText="1"/>
    </xf>
    <xf numFmtId="9" fontId="7" fillId="0" borderId="12" xfId="0" applyNumberFormat="1" applyFont="1" applyFill="1" applyBorder="1" applyAlignment="1">
      <alignment horizontal="left" vertical="center" wrapText="1"/>
    </xf>
    <xf numFmtId="0" fontId="6" fillId="0" borderId="0" xfId="0" applyFont="1" applyFill="1" applyBorder="1" applyAlignment="1">
      <alignment horizontal="center" vertical="center"/>
    </xf>
    <xf numFmtId="172" fontId="6" fillId="0" borderId="12" xfId="42" applyNumberFormat="1" applyFont="1" applyFill="1" applyBorder="1" applyAlignment="1">
      <alignment horizontal="center"/>
    </xf>
    <xf numFmtId="0" fontId="7" fillId="0" borderId="10" xfId="0" applyFont="1" applyFill="1" applyBorder="1" applyAlignment="1" quotePrefix="1">
      <alignment horizontal="center" vertical="center"/>
    </xf>
    <xf numFmtId="0" fontId="7" fillId="0" borderId="10"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17" xfId="0" applyFont="1" applyFill="1" applyBorder="1" applyAlignment="1">
      <alignment horizontal="center" vertical="center" wrapText="1"/>
    </xf>
    <xf numFmtId="3" fontId="7" fillId="0" borderId="17" xfId="42"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3" fontId="7" fillId="0" borderId="15" xfId="42" applyNumberFormat="1" applyFont="1" applyFill="1" applyBorder="1" applyAlignment="1">
      <alignment horizontal="center" vertical="center" wrapText="1"/>
    </xf>
    <xf numFmtId="9"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6" fillId="0" borderId="12" xfId="0" applyFont="1" applyFill="1" applyBorder="1" applyAlignment="1">
      <alignment horizontal="justify" vertical="center" wrapText="1"/>
    </xf>
    <xf numFmtId="1" fontId="6" fillId="0" borderId="12" xfId="0" applyNumberFormat="1" applyFont="1" applyFill="1" applyBorder="1" applyAlignment="1">
      <alignment horizontal="right" vertical="center" wrapText="1"/>
    </xf>
    <xf numFmtId="0" fontId="7" fillId="0" borderId="12" xfId="0" applyFont="1" applyFill="1" applyBorder="1" applyAlignment="1">
      <alignment horizontal="right" vertical="center" wrapText="1"/>
    </xf>
    <xf numFmtId="3" fontId="7" fillId="0" borderId="0" xfId="0" applyNumberFormat="1" applyFont="1" applyFill="1" applyAlignment="1">
      <alignment vertical="center" wrapText="1"/>
    </xf>
    <xf numFmtId="3" fontId="7" fillId="0" borderId="0" xfId="0" applyNumberFormat="1" applyFont="1" applyFill="1" applyAlignment="1">
      <alignment horizontal="center" vertical="center" wrapText="1"/>
    </xf>
    <xf numFmtId="3"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72" fontId="6" fillId="0" borderId="12" xfId="42" applyNumberFormat="1" applyFont="1" applyFill="1" applyBorder="1" applyAlignment="1">
      <alignment horizontal="center" vertical="center" wrapText="1"/>
    </xf>
    <xf numFmtId="0" fontId="6" fillId="0" borderId="12" xfId="0" applyFont="1" applyFill="1" applyBorder="1" applyAlignment="1">
      <alignment horizontal="justify" vertical="center"/>
    </xf>
    <xf numFmtId="3" fontId="6" fillId="0" borderId="12" xfId="0" applyNumberFormat="1" applyFont="1" applyFill="1" applyBorder="1" applyAlignment="1">
      <alignment horizontal="left" vertical="center" wrapText="1"/>
    </xf>
    <xf numFmtId="3" fontId="6" fillId="0" borderId="12" xfId="0" applyNumberFormat="1" applyFont="1" applyFill="1" applyBorder="1" applyAlignment="1">
      <alignment vertical="center" wrapText="1"/>
    </xf>
    <xf numFmtId="3" fontId="6" fillId="0" borderId="0" xfId="0" applyNumberFormat="1" applyFont="1" applyFill="1" applyAlignment="1">
      <alignment vertical="center" wrapText="1"/>
    </xf>
    <xf numFmtId="3" fontId="7"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180" fontId="9" fillId="0" borderId="12" xfId="0" applyNumberFormat="1" applyFont="1" applyFill="1" applyBorder="1" applyAlignment="1">
      <alignment horizontal="left" vertical="center" wrapText="1"/>
    </xf>
    <xf numFmtId="3" fontId="9" fillId="0" borderId="12" xfId="0" applyNumberFormat="1" applyFont="1" applyFill="1" applyBorder="1" applyAlignment="1">
      <alignment vertical="center" wrapText="1"/>
    </xf>
    <xf numFmtId="0" fontId="6" fillId="0" borderId="12" xfId="0" applyFont="1" applyFill="1" applyBorder="1" applyAlignment="1">
      <alignment horizontal="center" vertical="center"/>
    </xf>
    <xf numFmtId="0" fontId="7" fillId="0" borderId="18" xfId="0" applyFont="1" applyFill="1" applyBorder="1" applyAlignment="1">
      <alignment horizontal="center" vertical="center"/>
    </xf>
    <xf numFmtId="3" fontId="7" fillId="0" borderId="18" xfId="0" applyNumberFormat="1" applyFont="1" applyFill="1" applyBorder="1" applyAlignment="1">
      <alignment horizontal="left" vertical="center" wrapText="1"/>
    </xf>
    <xf numFmtId="3" fontId="7" fillId="0" borderId="12" xfId="0" applyNumberFormat="1" applyFont="1" applyFill="1" applyBorder="1" applyAlignment="1">
      <alignment vertical="center" wrapText="1"/>
    </xf>
    <xf numFmtId="3" fontId="7" fillId="0" borderId="18" xfId="0" applyNumberFormat="1" applyFont="1" applyFill="1" applyBorder="1" applyAlignment="1">
      <alignment vertical="center" wrapText="1"/>
    </xf>
    <xf numFmtId="0" fontId="6" fillId="0" borderId="18" xfId="0" applyFont="1" applyFill="1" applyBorder="1" applyAlignment="1">
      <alignment horizontal="center" vertical="center"/>
    </xf>
    <xf numFmtId="3" fontId="6" fillId="0" borderId="18" xfId="0" applyNumberFormat="1" applyFont="1" applyFill="1" applyBorder="1" applyAlignment="1">
      <alignment horizontal="left" vertical="center" wrapText="1"/>
    </xf>
    <xf numFmtId="3" fontId="6" fillId="0" borderId="18" xfId="0" applyNumberFormat="1" applyFont="1" applyFill="1" applyBorder="1" applyAlignment="1">
      <alignment vertical="center" wrapText="1"/>
    </xf>
    <xf numFmtId="180" fontId="7" fillId="0" borderId="12" xfId="0" applyNumberFormat="1" applyFont="1" applyFill="1" applyBorder="1" applyAlignment="1" quotePrefix="1">
      <alignment horizontal="left" vertical="center" wrapText="1"/>
    </xf>
    <xf numFmtId="180" fontId="7" fillId="0" borderId="12" xfId="0" applyNumberFormat="1" applyFont="1" applyFill="1" applyBorder="1" applyAlignment="1">
      <alignment vertical="center" wrapText="1"/>
    </xf>
    <xf numFmtId="0" fontId="7" fillId="0" borderId="12" xfId="0" applyFont="1" applyFill="1" applyBorder="1" applyAlignment="1">
      <alignment horizontal="center" vertical="center"/>
    </xf>
    <xf numFmtId="180" fontId="7" fillId="0" borderId="12" xfId="0" applyNumberFormat="1" applyFont="1" applyFill="1" applyBorder="1" applyAlignment="1">
      <alignment horizontal="left" vertical="center" wrapText="1"/>
    </xf>
    <xf numFmtId="3" fontId="7" fillId="0" borderId="12" xfId="0" applyNumberFormat="1" applyFont="1" applyFill="1" applyBorder="1" applyAlignment="1" quotePrefix="1">
      <alignment horizontal="center" vertical="center" wrapText="1"/>
    </xf>
    <xf numFmtId="3" fontId="7" fillId="0" borderId="12" xfId="0" applyNumberFormat="1" applyFont="1" applyFill="1" applyBorder="1" applyAlignment="1">
      <alignment horizontal="left" vertical="center" wrapText="1"/>
    </xf>
    <xf numFmtId="3" fontId="7" fillId="0" borderId="18" xfId="0" applyNumberFormat="1" applyFont="1" applyFill="1" applyBorder="1" applyAlignment="1">
      <alignment horizontal="center" vertical="center" wrapText="1"/>
    </xf>
    <xf numFmtId="180" fontId="7" fillId="0" borderId="18" xfId="0" applyNumberFormat="1" applyFont="1" applyFill="1" applyBorder="1" applyAlignment="1" quotePrefix="1">
      <alignment horizontal="left" vertical="center" wrapText="1"/>
    </xf>
    <xf numFmtId="180" fontId="7" fillId="0" borderId="18" xfId="0" applyNumberFormat="1" applyFont="1" applyFill="1" applyBorder="1" applyAlignment="1">
      <alignment vertical="center" wrapText="1"/>
    </xf>
    <xf numFmtId="180" fontId="7" fillId="0" borderId="18" xfId="0" applyNumberFormat="1" applyFont="1" applyFill="1" applyBorder="1" applyAlignment="1">
      <alignment horizontal="left" vertical="center" wrapText="1"/>
    </xf>
    <xf numFmtId="3" fontId="7" fillId="0" borderId="19"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7" fillId="0" borderId="19" xfId="0" applyNumberFormat="1" applyFont="1" applyFill="1" applyBorder="1" applyAlignment="1">
      <alignment horizontal="left" vertical="center" wrapText="1"/>
    </xf>
    <xf numFmtId="3" fontId="6" fillId="0" borderId="19" xfId="0" applyNumberFormat="1" applyFont="1" applyFill="1" applyBorder="1" applyAlignment="1">
      <alignment vertical="center" wrapText="1"/>
    </xf>
    <xf numFmtId="4" fontId="7" fillId="0" borderId="0" xfId="0" applyNumberFormat="1" applyFont="1" applyFill="1" applyAlignment="1">
      <alignment vertical="center" wrapText="1"/>
    </xf>
    <xf numFmtId="0" fontId="3" fillId="0" borderId="0" xfId="0" applyFont="1" applyFill="1" applyAlignment="1">
      <alignment horizontal="center" wrapText="1"/>
    </xf>
    <xf numFmtId="0" fontId="5" fillId="0" borderId="0" xfId="0" applyFont="1" applyFill="1" applyAlignment="1">
      <alignment wrapText="1"/>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72" fontId="3" fillId="0" borderId="12" xfId="42" applyNumberFormat="1" applyFont="1" applyFill="1" applyBorder="1" applyAlignment="1">
      <alignment horizontal="center" vertical="center" wrapText="1"/>
    </xf>
    <xf numFmtId="0" fontId="6" fillId="33" borderId="12" xfId="0" applyFont="1" applyFill="1" applyBorder="1" applyAlignment="1">
      <alignment horizontal="justify"/>
    </xf>
    <xf numFmtId="0" fontId="0" fillId="0" borderId="12" xfId="0" applyFont="1" applyFill="1" applyBorder="1" applyAlignment="1">
      <alignment horizontal="center"/>
    </xf>
    <xf numFmtId="172" fontId="0" fillId="0" borderId="12" xfId="42" applyNumberFormat="1" applyFont="1" applyFill="1" applyBorder="1" applyAlignment="1">
      <alignment horizontal="center"/>
    </xf>
    <xf numFmtId="172" fontId="3" fillId="0" borderId="12" xfId="42" applyNumberFormat="1" applyFont="1" applyFill="1" applyBorder="1" applyAlignment="1">
      <alignment horizontal="center" vertical="center"/>
    </xf>
    <xf numFmtId="172" fontId="0" fillId="0" borderId="12" xfId="42" applyNumberFormat="1" applyFont="1" applyFill="1" applyBorder="1" applyAlignment="1">
      <alignment horizontal="center" vertical="center"/>
    </xf>
    <xf numFmtId="0" fontId="58" fillId="0" borderId="12" xfId="0" applyNumberFormat="1" applyFont="1" applyBorder="1" applyAlignment="1">
      <alignment horizontal="left" vertical="center" wrapText="1"/>
    </xf>
    <xf numFmtId="0" fontId="0" fillId="0" borderId="12" xfId="0" applyFont="1" applyFill="1" applyBorder="1" applyAlignment="1">
      <alignment/>
    </xf>
    <xf numFmtId="0" fontId="0" fillId="0" borderId="12" xfId="0" applyFont="1" applyFill="1" applyBorder="1" applyAlignment="1">
      <alignment horizontal="center" vertical="center"/>
    </xf>
    <xf numFmtId="0" fontId="7" fillId="33" borderId="12" xfId="0" applyFont="1" applyFill="1" applyBorder="1" applyAlignment="1">
      <alignment horizontal="center"/>
    </xf>
    <xf numFmtId="0" fontId="58" fillId="0" borderId="12" xfId="0" applyFont="1" applyBorder="1" applyAlignment="1">
      <alignment horizontal="left" wrapText="1"/>
    </xf>
    <xf numFmtId="0" fontId="3" fillId="0" borderId="12" xfId="0" applyFont="1" applyFill="1" applyBorder="1" applyAlignment="1">
      <alignment horizontal="center" vertical="center"/>
    </xf>
    <xf numFmtId="0" fontId="59" fillId="0" borderId="12" xfId="0" applyFont="1" applyBorder="1" applyAlignment="1">
      <alignment horizontal="left" wrapText="1"/>
    </xf>
    <xf numFmtId="0" fontId="3" fillId="0" borderId="12" xfId="0" applyFont="1" applyFill="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horizontal="left"/>
    </xf>
    <xf numFmtId="172" fontId="0" fillId="0" borderId="0" xfId="42" applyNumberFormat="1" applyFont="1" applyFill="1" applyAlignment="1">
      <alignment horizontal="center"/>
    </xf>
    <xf numFmtId="172" fontId="0" fillId="0" borderId="0" xfId="0" applyNumberFormat="1" applyFont="1" applyFill="1" applyAlignment="1">
      <alignment/>
    </xf>
    <xf numFmtId="0" fontId="3" fillId="0" borderId="16" xfId="0" applyFont="1" applyFill="1" applyBorder="1" applyAlignment="1">
      <alignment horizontal="left" vertical="center" wrapText="1"/>
    </xf>
    <xf numFmtId="172" fontId="0" fillId="0" borderId="10" xfId="42" applyNumberFormat="1" applyFont="1" applyFill="1" applyBorder="1" applyAlignment="1">
      <alignment horizontal="right" vertical="center" wrapText="1"/>
    </xf>
    <xf numFmtId="172" fontId="0" fillId="0" borderId="12" xfId="42"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horizontal="center" vertical="center" wrapText="1"/>
    </xf>
    <xf numFmtId="172" fontId="0" fillId="0" borderId="12" xfId="42" applyNumberFormat="1" applyFont="1" applyFill="1" applyBorder="1" applyAlignment="1">
      <alignment horizontal="center" vertical="center"/>
    </xf>
    <xf numFmtId="172" fontId="0" fillId="0" borderId="12" xfId="0" applyNumberFormat="1" applyFont="1" applyFill="1" applyBorder="1" applyAlignment="1">
      <alignment horizontal="center" vertical="center"/>
    </xf>
    <xf numFmtId="0" fontId="6" fillId="33" borderId="0" xfId="0" applyFont="1" applyFill="1" applyBorder="1" applyAlignment="1">
      <alignment horizontal="left"/>
    </xf>
    <xf numFmtId="0" fontId="7" fillId="33" borderId="0" xfId="0" applyFont="1" applyFill="1" applyBorder="1" applyAlignment="1">
      <alignment horizontal="left"/>
    </xf>
    <xf numFmtId="0" fontId="7" fillId="33" borderId="0" xfId="0" applyFont="1" applyFill="1" applyAlignment="1">
      <alignment horizontal="justify"/>
    </xf>
    <xf numFmtId="0" fontId="7" fillId="33" borderId="0" xfId="0" applyFont="1" applyFill="1" applyBorder="1" applyAlignment="1">
      <alignment horizontal="center" wrapText="1"/>
    </xf>
    <xf numFmtId="0" fontId="7" fillId="33" borderId="0" xfId="0" applyFont="1" applyFill="1" applyAlignment="1">
      <alignment horizontal="center"/>
    </xf>
    <xf numFmtId="0" fontId="6" fillId="33" borderId="10" xfId="0" applyFont="1" applyFill="1" applyBorder="1" applyAlignment="1">
      <alignment horizontal="center" vertical="center"/>
    </xf>
    <xf numFmtId="0" fontId="6" fillId="33" borderId="10" xfId="0" applyFont="1" applyFill="1" applyBorder="1" applyAlignment="1">
      <alignment horizontal="justify" vertical="center"/>
    </xf>
    <xf numFmtId="0" fontId="6" fillId="33" borderId="12" xfId="0" applyFont="1" applyFill="1" applyBorder="1" applyAlignment="1">
      <alignment horizontal="right" vertical="center"/>
    </xf>
    <xf numFmtId="0" fontId="6" fillId="33" borderId="0" xfId="0" applyFont="1" applyFill="1" applyAlignment="1">
      <alignment horizontal="justify"/>
    </xf>
    <xf numFmtId="3" fontId="3" fillId="0" borderId="12" xfId="0" applyNumberFormat="1" applyFont="1" applyBorder="1" applyAlignment="1">
      <alignment horizontal="center" vertical="center" wrapText="1"/>
    </xf>
    <xf numFmtId="3" fontId="3" fillId="0" borderId="20" xfId="0" applyNumberFormat="1" applyFont="1" applyBorder="1" applyAlignment="1">
      <alignment vertical="center" wrapText="1"/>
    </xf>
    <xf numFmtId="3" fontId="0" fillId="0" borderId="12" xfId="0" applyNumberFormat="1" applyFont="1" applyBorder="1" applyAlignment="1">
      <alignment horizontal="center" vertical="center" wrapText="1"/>
    </xf>
    <xf numFmtId="0" fontId="60" fillId="0" borderId="0" xfId="0" applyFont="1" applyAlignment="1">
      <alignment horizontal="justify" vertical="center"/>
    </xf>
    <xf numFmtId="0" fontId="7" fillId="33" borderId="12" xfId="0" applyFont="1" applyFill="1" applyBorder="1" applyAlignment="1">
      <alignment horizontal="right" vertical="center"/>
    </xf>
    <xf numFmtId="0" fontId="3" fillId="0" borderId="12" xfId="0" applyFont="1" applyFill="1" applyBorder="1" applyAlignment="1">
      <alignment horizontal="justify" vertical="center"/>
    </xf>
    <xf numFmtId="3" fontId="0" fillId="0" borderId="12" xfId="0" applyNumberFormat="1" applyFont="1" applyBorder="1" applyAlignment="1" quotePrefix="1">
      <alignment horizontal="center" vertical="center" wrapText="1"/>
    </xf>
    <xf numFmtId="0" fontId="0" fillId="0" borderId="12" xfId="0" applyFont="1" applyBorder="1" applyAlignment="1">
      <alignment horizontal="left" vertical="center" wrapText="1"/>
    </xf>
    <xf numFmtId="0" fontId="3" fillId="0" borderId="12" xfId="0" applyFont="1" applyBorder="1" applyAlignment="1">
      <alignment horizontal="left" vertical="center" wrapText="1"/>
    </xf>
    <xf numFmtId="0" fontId="0" fillId="0" borderId="12" xfId="0" applyFont="1" applyBorder="1" applyAlignment="1">
      <alignment horizontal="justify" vertical="center" wrapText="1"/>
    </xf>
    <xf numFmtId="0" fontId="7" fillId="33" borderId="0" xfId="0" applyFont="1" applyFill="1" applyAlignment="1">
      <alignment horizontal="left"/>
    </xf>
    <xf numFmtId="3" fontId="10" fillId="0" borderId="0" xfId="0" applyNumberFormat="1" applyFont="1" applyFill="1" applyAlignment="1">
      <alignment horizontal="center" vertical="center" wrapText="1"/>
    </xf>
    <xf numFmtId="3" fontId="9" fillId="0" borderId="0" xfId="0" applyNumberFormat="1" applyFont="1" applyFill="1" applyAlignment="1">
      <alignment horizontal="center" vertical="center" wrapText="1"/>
    </xf>
    <xf numFmtId="3" fontId="10" fillId="0" borderId="0" xfId="0" applyNumberFormat="1" applyFont="1" applyFill="1" applyAlignment="1">
      <alignment vertical="center" wrapText="1"/>
    </xf>
    <xf numFmtId="3" fontId="9" fillId="0" borderId="0" xfId="0" applyNumberFormat="1" applyFont="1" applyFill="1" applyAlignment="1">
      <alignment vertical="center" wrapText="1"/>
    </xf>
    <xf numFmtId="3" fontId="10"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0" fillId="0" borderId="12" xfId="0" applyNumberFormat="1" applyFont="1" applyFill="1" applyBorder="1" applyAlignment="1">
      <alignment horizontal="left" vertical="center" wrapText="1"/>
    </xf>
    <xf numFmtId="3" fontId="0"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0" fontId="0" fillId="0" borderId="12" xfId="0" applyFont="1" applyFill="1" applyBorder="1" applyAlignment="1">
      <alignment horizontal="justify" vertical="center"/>
    </xf>
    <xf numFmtId="3" fontId="0" fillId="0" borderId="18" xfId="0" applyNumberFormat="1" applyFont="1" applyFill="1" applyBorder="1" applyAlignment="1" quotePrefix="1">
      <alignment horizontal="center" vertical="center" wrapText="1"/>
    </xf>
    <xf numFmtId="3" fontId="0" fillId="0" borderId="18" xfId="0" applyNumberFormat="1" applyFont="1" applyFill="1" applyBorder="1" applyAlignment="1">
      <alignment horizontal="center" vertical="center" wrapText="1"/>
    </xf>
    <xf numFmtId="3" fontId="61" fillId="0" borderId="12" xfId="0" applyNumberFormat="1" applyFont="1" applyFill="1" applyBorder="1" applyAlignment="1">
      <alignment horizontal="center" vertical="center" wrapText="1"/>
    </xf>
    <xf numFmtId="0" fontId="40" fillId="0" borderId="12" xfId="0" applyFont="1" applyFill="1" applyBorder="1" applyAlignment="1">
      <alignment horizontal="justify" vertical="center"/>
    </xf>
    <xf numFmtId="3" fontId="40" fillId="0" borderId="18" xfId="0" applyNumberFormat="1" applyFont="1" applyFill="1" applyBorder="1" applyAlignment="1">
      <alignment horizontal="center" vertical="center" wrapText="1"/>
    </xf>
    <xf numFmtId="180" fontId="40" fillId="0" borderId="18" xfId="0" applyNumberFormat="1" applyFont="1" applyFill="1" applyBorder="1" applyAlignment="1">
      <alignment horizontal="center" vertical="center" wrapText="1"/>
    </xf>
    <xf numFmtId="3" fontId="62" fillId="0" borderId="0" xfId="0" applyNumberFormat="1" applyFont="1" applyFill="1" applyAlignment="1">
      <alignment vertical="center" wrapText="1"/>
    </xf>
    <xf numFmtId="0" fontId="0" fillId="0" borderId="18" xfId="0" applyFont="1" applyFill="1" applyBorder="1" applyAlignment="1">
      <alignment horizontal="center" vertical="center"/>
    </xf>
    <xf numFmtId="3" fontId="3" fillId="0" borderId="12" xfId="0" applyNumberFormat="1" applyFont="1" applyFill="1" applyBorder="1" applyAlignment="1">
      <alignment horizontal="left" vertical="center" wrapText="1"/>
    </xf>
    <xf numFmtId="0" fontId="0" fillId="0" borderId="0" xfId="0" applyFont="1" applyFill="1" applyAlignment="1">
      <alignment horizontal="center" wrapText="1"/>
    </xf>
    <xf numFmtId="0"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72" fontId="3" fillId="0" borderId="0" xfId="0" applyNumberFormat="1" applyFont="1" applyFill="1" applyAlignment="1">
      <alignment/>
    </xf>
    <xf numFmtId="0" fontId="3"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9" fontId="0" fillId="0" borderId="12" xfId="0" applyNumberFormat="1" applyFont="1" applyFill="1" applyBorder="1" applyAlignment="1">
      <alignment horizontal="center" vertical="center" wrapText="1"/>
    </xf>
    <xf numFmtId="0" fontId="0" fillId="0" borderId="12" xfId="0" applyFont="1" applyFill="1" applyBorder="1" applyAlignment="1">
      <alignment vertical="center"/>
    </xf>
    <xf numFmtId="3" fontId="0" fillId="0" borderId="12" xfId="0" applyNumberFormat="1" applyFont="1" applyFill="1" applyBorder="1" applyAlignment="1">
      <alignment vertical="center"/>
    </xf>
    <xf numFmtId="43" fontId="3" fillId="0" borderId="0" xfId="42" applyFont="1" applyFill="1" applyBorder="1" applyAlignment="1">
      <alignment horizontal="center" vertical="center" wrapText="1"/>
    </xf>
    <xf numFmtId="172" fontId="3" fillId="0" borderId="0" xfId="42" applyNumberFormat="1" applyFont="1" applyFill="1" applyBorder="1" applyAlignment="1">
      <alignment horizontal="center" vertical="center" wrapText="1"/>
    </xf>
    <xf numFmtId="178" fontId="3" fillId="0" borderId="0" xfId="42" applyNumberFormat="1" applyFont="1" applyFill="1" applyBorder="1" applyAlignment="1">
      <alignment horizontal="center" vertical="center" wrapText="1"/>
    </xf>
    <xf numFmtId="0" fontId="6" fillId="33" borderId="0" xfId="0" applyFont="1" applyFill="1" applyBorder="1" applyAlignment="1">
      <alignment horizontal="center"/>
    </xf>
    <xf numFmtId="172" fontId="3" fillId="0" borderId="12" xfId="0" applyNumberFormat="1" applyFont="1" applyFill="1" applyBorder="1" applyAlignment="1">
      <alignment horizontal="center" vertical="center" wrapText="1"/>
    </xf>
    <xf numFmtId="43" fontId="3" fillId="0" borderId="12" xfId="0" applyNumberFormat="1" applyFont="1" applyFill="1" applyBorder="1" applyAlignment="1">
      <alignment horizontal="center" vertical="center" wrapText="1"/>
    </xf>
    <xf numFmtId="43" fontId="0" fillId="0" borderId="0" xfId="0" applyNumberFormat="1" applyFont="1" applyFill="1" applyAlignment="1">
      <alignment/>
    </xf>
    <xf numFmtId="3" fontId="0" fillId="0" borderId="12" xfId="0" applyNumberFormat="1" applyFont="1" applyFill="1" applyBorder="1" applyAlignment="1">
      <alignment horizontal="center" vertical="center" wrapText="1"/>
    </xf>
    <xf numFmtId="43" fontId="0" fillId="0" borderId="12" xfId="42" applyNumberFormat="1" applyFont="1" applyFill="1" applyBorder="1" applyAlignment="1">
      <alignment horizontal="center" vertical="center" wrapText="1"/>
    </xf>
    <xf numFmtId="0" fontId="3" fillId="0" borderId="0" xfId="0" applyFont="1" applyFill="1" applyAlignment="1">
      <alignment vertical="center"/>
    </xf>
    <xf numFmtId="9" fontId="0" fillId="0" borderId="12" xfId="0" applyNumberFormat="1" applyFont="1" applyFill="1" applyBorder="1" applyAlignment="1">
      <alignment horizontal="left" vertical="center" wrapText="1"/>
    </xf>
    <xf numFmtId="43" fontId="0" fillId="0" borderId="12" xfId="42" applyNumberFormat="1" applyFont="1" applyFill="1" applyBorder="1" applyAlignment="1">
      <alignment horizontal="center" vertical="center"/>
    </xf>
    <xf numFmtId="0" fontId="0" fillId="0" borderId="12" xfId="0" applyFont="1" applyFill="1" applyBorder="1" applyAlignment="1">
      <alignment vertical="center" wrapText="1"/>
    </xf>
    <xf numFmtId="172" fontId="0" fillId="0" borderId="12" xfId="0" applyNumberFormat="1" applyFont="1" applyFill="1" applyBorder="1" applyAlignment="1">
      <alignment vertical="center" wrapText="1"/>
    </xf>
    <xf numFmtId="43" fontId="0" fillId="0" borderId="12" xfId="0" applyNumberFormat="1" applyFont="1" applyFill="1" applyBorder="1" applyAlignment="1">
      <alignment vertical="center" wrapText="1"/>
    </xf>
    <xf numFmtId="43" fontId="0" fillId="0" borderId="0" xfId="42" applyNumberFormat="1" applyFont="1" applyFill="1" applyBorder="1" applyAlignment="1">
      <alignment horizontal="center" vertical="center"/>
    </xf>
    <xf numFmtId="0" fontId="3" fillId="0" borderId="0" xfId="0" applyFont="1" applyFill="1" applyAlignment="1">
      <alignment/>
    </xf>
    <xf numFmtId="0" fontId="0" fillId="0" borderId="12" xfId="0" applyFont="1" applyFill="1" applyBorder="1" applyAlignment="1">
      <alignment horizontal="justify"/>
    </xf>
    <xf numFmtId="3" fontId="3" fillId="0" borderId="12" xfId="0" applyNumberFormat="1" applyFont="1" applyFill="1" applyBorder="1" applyAlignment="1">
      <alignment vertical="center" wrapText="1"/>
    </xf>
    <xf numFmtId="172" fontId="7" fillId="0" borderId="12" xfId="0" applyNumberFormat="1" applyFont="1" applyFill="1" applyBorder="1" applyAlignment="1">
      <alignment/>
    </xf>
    <xf numFmtId="0" fontId="7" fillId="0" borderId="12" xfId="0" applyFont="1" applyFill="1" applyBorder="1" applyAlignment="1">
      <alignment vertical="center"/>
    </xf>
    <xf numFmtId="0" fontId="7" fillId="0" borderId="14" xfId="0" applyFont="1" applyFill="1" applyBorder="1" applyAlignment="1">
      <alignment vertical="center"/>
    </xf>
    <xf numFmtId="172" fontId="6" fillId="0" borderId="12" xfId="0" applyNumberFormat="1" applyFont="1" applyFill="1" applyBorder="1" applyAlignment="1">
      <alignment horizontal="center"/>
    </xf>
    <xf numFmtId="0" fontId="6" fillId="0" borderId="12" xfId="0" applyFont="1" applyFill="1" applyBorder="1" applyAlignment="1">
      <alignment horizontal="justify"/>
    </xf>
    <xf numFmtId="172" fontId="6" fillId="0" borderId="12" xfId="0" applyNumberFormat="1" applyFont="1" applyFill="1" applyBorder="1" applyAlignment="1">
      <alignment/>
    </xf>
    <xf numFmtId="0" fontId="7" fillId="0" borderId="12" xfId="0" applyFont="1" applyFill="1" applyBorder="1" applyAlignment="1">
      <alignment horizontal="left" wrapText="1"/>
    </xf>
    <xf numFmtId="0" fontId="6" fillId="0" borderId="12" xfId="0" applyFont="1" applyFill="1" applyBorder="1" applyAlignment="1">
      <alignment horizontal="left"/>
    </xf>
    <xf numFmtId="172" fontId="7" fillId="0" borderId="12" xfId="0" applyNumberFormat="1" applyFont="1" applyFill="1" applyBorder="1" applyAlignment="1">
      <alignment horizontal="center"/>
    </xf>
    <xf numFmtId="3" fontId="3" fillId="0" borderId="18" xfId="0" applyNumberFormat="1" applyFont="1" applyFill="1" applyBorder="1" applyAlignment="1">
      <alignment horizontal="center" vertical="center" wrapText="1"/>
    </xf>
    <xf numFmtId="172" fontId="0" fillId="0" borderId="12" xfId="42" applyNumberFormat="1" applyFont="1" applyFill="1" applyBorder="1" applyAlignment="1">
      <alignment horizontal="center" vertical="center" wrapText="1"/>
    </xf>
    <xf numFmtId="0" fontId="7" fillId="0" borderId="0" xfId="0" applyFont="1" applyFill="1" applyAlignment="1">
      <alignment horizontal="justify" vertical="center"/>
    </xf>
    <xf numFmtId="0" fontId="3" fillId="0" borderId="0" xfId="0" applyFont="1" applyFill="1" applyBorder="1" applyAlignment="1">
      <alignment horizontal="left"/>
    </xf>
    <xf numFmtId="0" fontId="0" fillId="0" borderId="0" xfId="0" applyFont="1" applyFill="1" applyBorder="1" applyAlignment="1">
      <alignment horizontal="justify"/>
    </xf>
    <xf numFmtId="0" fontId="0" fillId="0" borderId="0" xfId="0" applyFont="1" applyFill="1" applyAlignment="1">
      <alignment horizontal="justify"/>
    </xf>
    <xf numFmtId="0" fontId="4" fillId="0" borderId="0" xfId="0" applyFont="1" applyFill="1" applyAlignment="1">
      <alignment horizontal="right"/>
    </xf>
    <xf numFmtId="172" fontId="7" fillId="0" borderId="10" xfId="0" applyNumberFormat="1" applyFont="1" applyFill="1" applyBorder="1" applyAlignment="1">
      <alignment horizontal="center" vertical="center" wrapText="1"/>
    </xf>
    <xf numFmtId="172" fontId="0" fillId="0" borderId="10" xfId="42" applyNumberFormat="1" applyFont="1" applyFill="1" applyBorder="1" applyAlignment="1">
      <alignment horizontal="center" vertical="center" wrapText="1"/>
    </xf>
    <xf numFmtId="3" fontId="7" fillId="0" borderId="10" xfId="0" applyNumberFormat="1" applyFont="1" applyFill="1" applyBorder="1" applyAlignment="1">
      <alignment vertical="center" wrapText="1"/>
    </xf>
    <xf numFmtId="3" fontId="6" fillId="0" borderId="19" xfId="0" applyNumberFormat="1" applyFont="1" applyFill="1" applyBorder="1" applyAlignment="1">
      <alignment vertical="center" wrapText="1"/>
    </xf>
    <xf numFmtId="0" fontId="0" fillId="0" borderId="11" xfId="0" applyFont="1" applyFill="1" applyBorder="1" applyAlignment="1">
      <alignment horizontal="center"/>
    </xf>
    <xf numFmtId="0" fontId="5" fillId="0" borderId="0" xfId="0" applyFont="1" applyFill="1" applyAlignment="1">
      <alignment horizontal="left"/>
    </xf>
    <xf numFmtId="49" fontId="40" fillId="0" borderId="12" xfId="0" applyNumberFormat="1" applyFont="1" applyBorder="1" applyAlignment="1">
      <alignment horizontal="left" vertical="center" wrapText="1"/>
    </xf>
    <xf numFmtId="0" fontId="40" fillId="0" borderId="14" xfId="0" applyFont="1" applyBorder="1" applyAlignment="1">
      <alignment horizontal="justify"/>
    </xf>
    <xf numFmtId="3" fontId="9" fillId="0" borderId="19"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0" fillId="0" borderId="19" xfId="0" applyNumberFormat="1" applyFont="1" applyFill="1" applyBorder="1" applyAlignment="1">
      <alignment horizontal="center" vertical="center" wrapText="1"/>
    </xf>
    <xf numFmtId="0" fontId="7" fillId="34" borderId="0" xfId="0" applyFont="1" applyFill="1" applyBorder="1" applyAlignment="1">
      <alignment horizontal="center"/>
    </xf>
    <xf numFmtId="3" fontId="7" fillId="34" borderId="0" xfId="0" applyNumberFormat="1" applyFont="1" applyFill="1" applyBorder="1" applyAlignment="1">
      <alignment horizontal="center"/>
    </xf>
    <xf numFmtId="0" fontId="63" fillId="0" borderId="12" xfId="0" applyFont="1" applyFill="1" applyBorder="1" applyAlignment="1">
      <alignment horizontal="center" vertical="center"/>
    </xf>
    <xf numFmtId="0" fontId="64" fillId="0" borderId="0" xfId="0" applyFont="1" applyFill="1" applyBorder="1" applyAlignment="1">
      <alignment/>
    </xf>
    <xf numFmtId="0" fontId="64" fillId="0" borderId="14" xfId="0" applyFont="1" applyFill="1" applyBorder="1" applyAlignment="1">
      <alignment/>
    </xf>
    <xf numFmtId="0" fontId="64" fillId="0" borderId="12" xfId="0" applyFont="1" applyFill="1" applyBorder="1" applyAlignment="1">
      <alignment/>
    </xf>
    <xf numFmtId="0" fontId="7" fillId="0" borderId="12" xfId="0" applyFont="1" applyFill="1" applyBorder="1" applyAlignment="1">
      <alignment wrapText="1"/>
    </xf>
    <xf numFmtId="3" fontId="7" fillId="0" borderId="12" xfId="0" applyNumberFormat="1" applyFont="1" applyFill="1" applyBorder="1" applyAlignment="1">
      <alignment horizontal="right" vertical="center" wrapText="1"/>
    </xf>
    <xf numFmtId="0" fontId="63" fillId="0" borderId="0" xfId="0" applyFont="1" applyFill="1" applyBorder="1" applyAlignment="1">
      <alignment horizontal="center" vertical="center"/>
    </xf>
    <xf numFmtId="0" fontId="63" fillId="0" borderId="12" xfId="0" applyFont="1" applyFill="1" applyBorder="1" applyAlignment="1">
      <alignment horizontal="left" vertical="center" wrapText="1"/>
    </xf>
    <xf numFmtId="3" fontId="63" fillId="0" borderId="12" xfId="0" applyNumberFormat="1" applyFont="1" applyFill="1" applyBorder="1" applyAlignment="1">
      <alignment horizontal="center" vertical="center"/>
    </xf>
    <xf numFmtId="3" fontId="63" fillId="0" borderId="12" xfId="0" applyNumberFormat="1" applyFont="1" applyFill="1" applyBorder="1" applyAlignment="1">
      <alignment horizontal="right" vertical="center"/>
    </xf>
    <xf numFmtId="0" fontId="63" fillId="0" borderId="0" xfId="0" applyFont="1" applyFill="1" applyBorder="1" applyAlignment="1">
      <alignment/>
    </xf>
    <xf numFmtId="0" fontId="63" fillId="0" borderId="12" xfId="0" applyFont="1" applyFill="1" applyBorder="1" applyAlignment="1" quotePrefix="1">
      <alignment horizontal="center" vertical="center"/>
    </xf>
    <xf numFmtId="0" fontId="64" fillId="0" borderId="12" xfId="0" applyFont="1" applyFill="1" applyBorder="1" applyAlignment="1">
      <alignment horizontal="left" vertical="center" wrapText="1"/>
    </xf>
    <xf numFmtId="0" fontId="64" fillId="0" borderId="10" xfId="0" applyFont="1" applyFill="1" applyBorder="1" applyAlignment="1">
      <alignment horizontal="center" vertical="center"/>
    </xf>
    <xf numFmtId="9" fontId="64" fillId="0" borderId="10" xfId="0" applyNumberFormat="1" applyFont="1" applyFill="1" applyBorder="1" applyAlignment="1">
      <alignment horizontal="center" vertical="center" wrapText="1"/>
    </xf>
    <xf numFmtId="3" fontId="64" fillId="0" borderId="15" xfId="42" applyNumberFormat="1" applyFont="1" applyFill="1" applyBorder="1" applyAlignment="1">
      <alignment horizontal="right" vertical="center" wrapText="1"/>
    </xf>
    <xf numFmtId="0" fontId="63" fillId="0" borderId="0" xfId="0" applyFont="1" applyFill="1" applyAlignment="1">
      <alignment/>
    </xf>
    <xf numFmtId="1" fontId="63" fillId="0" borderId="0" xfId="0" applyNumberFormat="1" applyFont="1" applyFill="1" applyAlignment="1">
      <alignment/>
    </xf>
    <xf numFmtId="0" fontId="64" fillId="0" borderId="0" xfId="0" applyFont="1" applyFill="1" applyAlignment="1">
      <alignment/>
    </xf>
    <xf numFmtId="0" fontId="7" fillId="0" borderId="12" xfId="0"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179" fontId="7" fillId="0" borderId="12" xfId="0" applyNumberFormat="1" applyFont="1" applyFill="1" applyBorder="1" applyAlignment="1">
      <alignment horizontal="center" vertical="center"/>
    </xf>
    <xf numFmtId="172" fontId="7" fillId="0" borderId="12" xfId="42" applyNumberFormat="1" applyFont="1" applyFill="1" applyBorder="1" applyAlignment="1">
      <alignment horizontal="center" vertical="center"/>
    </xf>
    <xf numFmtId="0" fontId="7" fillId="0" borderId="0" xfId="0" applyFont="1" applyFill="1" applyAlignment="1">
      <alignment horizontal="right"/>
    </xf>
    <xf numFmtId="0" fontId="8" fillId="0" borderId="0" xfId="0" applyFont="1" applyFill="1" applyAlignment="1">
      <alignment horizontal="right" wrapText="1"/>
    </xf>
    <xf numFmtId="172" fontId="6" fillId="0" borderId="12" xfId="42" applyNumberFormat="1" applyFont="1" applyFill="1" applyBorder="1" applyAlignment="1">
      <alignment horizontal="right" vertical="center" wrapText="1"/>
    </xf>
    <xf numFmtId="172" fontId="6" fillId="0" borderId="12" xfId="0" applyNumberFormat="1" applyFont="1" applyFill="1" applyBorder="1" applyAlignment="1">
      <alignment horizontal="right" vertical="center" wrapText="1"/>
    </xf>
    <xf numFmtId="179" fontId="6" fillId="0" borderId="12" xfId="0" applyNumberFormat="1" applyFont="1" applyFill="1" applyBorder="1" applyAlignment="1">
      <alignment horizontal="right" vertical="center"/>
    </xf>
    <xf numFmtId="179" fontId="7" fillId="0" borderId="12" xfId="0" applyNumberFormat="1" applyFont="1" applyFill="1" applyBorder="1" applyAlignment="1">
      <alignment horizontal="right" vertical="center"/>
    </xf>
    <xf numFmtId="172" fontId="7" fillId="0" borderId="12" xfId="42" applyNumberFormat="1" applyFont="1" applyFill="1" applyBorder="1" applyAlignment="1">
      <alignment horizontal="right" vertical="center"/>
    </xf>
    <xf numFmtId="172" fontId="6" fillId="0" borderId="12" xfId="42" applyNumberFormat="1" applyFont="1" applyFill="1" applyBorder="1" applyAlignment="1">
      <alignment horizontal="right" vertical="center"/>
    </xf>
    <xf numFmtId="172" fontId="7" fillId="0" borderId="12" xfId="42" applyNumberFormat="1" applyFont="1" applyFill="1" applyBorder="1" applyAlignment="1">
      <alignment horizontal="right" vertical="center"/>
    </xf>
    <xf numFmtId="172" fontId="7" fillId="0" borderId="12" xfId="42" applyNumberFormat="1" applyFont="1" applyFill="1" applyBorder="1" applyAlignment="1">
      <alignment horizontal="right"/>
    </xf>
    <xf numFmtId="172" fontId="6" fillId="0" borderId="12" xfId="0" applyNumberFormat="1" applyFont="1" applyFill="1" applyBorder="1" applyAlignment="1">
      <alignment horizontal="right"/>
    </xf>
    <xf numFmtId="172" fontId="7" fillId="0" borderId="0" xfId="42" applyNumberFormat="1" applyFont="1" applyFill="1" applyAlignment="1">
      <alignment horizontal="right"/>
    </xf>
    <xf numFmtId="172" fontId="7" fillId="0" borderId="12" xfId="0" applyNumberFormat="1" applyFont="1" applyFill="1" applyBorder="1" applyAlignment="1">
      <alignment horizontal="right"/>
    </xf>
    <xf numFmtId="172" fontId="7" fillId="0" borderId="12" xfId="0" applyNumberFormat="1" applyFont="1" applyFill="1" applyBorder="1" applyAlignment="1">
      <alignment horizontal="center"/>
    </xf>
    <xf numFmtId="3" fontId="0" fillId="0" borderId="12" xfId="0" applyNumberFormat="1" applyFont="1" applyFill="1" applyBorder="1" applyAlignment="1">
      <alignment horizontal="right" vertical="center" wrapText="1"/>
    </xf>
    <xf numFmtId="3" fontId="40" fillId="0" borderId="18" xfId="0" applyNumberFormat="1" applyFont="1" applyFill="1" applyBorder="1" applyAlignment="1">
      <alignment horizontal="right" vertical="center" wrapText="1"/>
    </xf>
    <xf numFmtId="3" fontId="40"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3" fontId="0" fillId="0" borderId="18"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43" fontId="13" fillId="0" borderId="0" xfId="42" applyFont="1" applyFill="1" applyBorder="1" applyAlignment="1">
      <alignment horizontal="center" vertical="center" wrapText="1"/>
    </xf>
    <xf numFmtId="172" fontId="13" fillId="0" borderId="0" xfId="42" applyNumberFormat="1" applyFont="1" applyFill="1" applyBorder="1" applyAlignment="1">
      <alignment horizontal="center" vertical="center" wrapText="1"/>
    </xf>
    <xf numFmtId="172" fontId="14" fillId="0" borderId="0" xfId="0" applyNumberFormat="1" applyFont="1" applyFill="1" applyAlignment="1">
      <alignment/>
    </xf>
    <xf numFmtId="0" fontId="14" fillId="0" borderId="0" xfId="0" applyFont="1" applyFill="1" applyAlignment="1">
      <alignment/>
    </xf>
    <xf numFmtId="0" fontId="0" fillId="0" borderId="15" xfId="0" applyFont="1" applyFill="1" applyBorder="1" applyAlignment="1">
      <alignment horizontal="center" vertical="center" wrapText="1"/>
    </xf>
    <xf numFmtId="172" fontId="0" fillId="0" borderId="15" xfId="42" applyNumberFormat="1" applyFont="1" applyFill="1" applyBorder="1" applyAlignment="1">
      <alignment horizontal="right" vertical="center" wrapText="1"/>
    </xf>
    <xf numFmtId="0" fontId="0" fillId="0" borderId="17" xfId="0" applyFont="1" applyFill="1" applyBorder="1" applyAlignment="1">
      <alignment horizontal="center"/>
    </xf>
    <xf numFmtId="0" fontId="0" fillId="0" borderId="17" xfId="0" applyFont="1" applyFill="1" applyBorder="1" applyAlignment="1">
      <alignment horizontal="left" wrapText="1"/>
    </xf>
    <xf numFmtId="172" fontId="0" fillId="0" borderId="17" xfId="42" applyNumberFormat="1" applyFont="1" applyFill="1" applyBorder="1" applyAlignment="1">
      <alignment horizontal="center"/>
    </xf>
    <xf numFmtId="172" fontId="40" fillId="0" borderId="17" xfId="42" applyNumberFormat="1" applyFont="1" applyFill="1" applyBorder="1" applyAlignment="1">
      <alignment horizontal="center" wrapText="1"/>
    </xf>
    <xf numFmtId="172" fontId="3" fillId="0" borderId="12" xfId="42" applyNumberFormat="1" applyFont="1" applyFill="1" applyBorder="1" applyAlignment="1">
      <alignment horizontal="center"/>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172" fontId="13" fillId="0" borderId="15" xfId="42" applyNumberFormat="1" applyFont="1" applyFill="1" applyBorder="1" applyAlignment="1">
      <alignment horizontal="center" vertical="center" wrapText="1"/>
    </xf>
    <xf numFmtId="0" fontId="0" fillId="0" borderId="11" xfId="0" applyFont="1" applyFill="1" applyBorder="1" applyAlignment="1">
      <alignment wrapText="1"/>
    </xf>
    <xf numFmtId="0" fontId="5" fillId="0" borderId="13" xfId="0" applyFont="1" applyFill="1" applyBorder="1" applyAlignment="1">
      <alignment horizontal="center" wrapText="1"/>
    </xf>
    <xf numFmtId="0" fontId="3" fillId="0" borderId="16" xfId="0" applyFont="1" applyFill="1" applyBorder="1" applyAlignment="1">
      <alignment horizontal="center" vertical="center" wrapText="1"/>
    </xf>
    <xf numFmtId="172" fontId="3" fillId="0" borderId="16" xfId="42" applyNumberFormat="1" applyFont="1" applyFill="1" applyBorder="1" applyAlignment="1">
      <alignment horizontal="center" vertical="center" wrapText="1"/>
    </xf>
    <xf numFmtId="0" fontId="0" fillId="33" borderId="15" xfId="0" applyFont="1" applyFill="1" applyBorder="1" applyAlignment="1">
      <alignment vertical="center" wrapText="1"/>
    </xf>
    <xf numFmtId="172" fontId="0" fillId="0" borderId="15" xfId="42" applyNumberFormat="1" applyFont="1" applyFill="1" applyBorder="1" applyAlignment="1">
      <alignment horizontal="center" vertical="center" wrapText="1"/>
    </xf>
    <xf numFmtId="172" fontId="0" fillId="0" borderId="10" xfId="42"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right" vertical="center"/>
    </xf>
    <xf numFmtId="172" fontId="0" fillId="0" borderId="11" xfId="42" applyNumberFormat="1" applyFont="1" applyFill="1" applyBorder="1" applyAlignment="1">
      <alignment horizontal="right" vertical="center"/>
    </xf>
    <xf numFmtId="172" fontId="0" fillId="0" borderId="11" xfId="42" applyNumberFormat="1" applyFont="1" applyFill="1" applyBorder="1" applyAlignment="1">
      <alignment horizontal="right" vertical="center" wrapText="1"/>
    </xf>
    <xf numFmtId="0" fontId="3" fillId="0" borderId="0" xfId="0" applyFont="1" applyFill="1" applyAlignment="1">
      <alignment horizontal="center" wrapText="1"/>
    </xf>
    <xf numFmtId="0" fontId="5" fillId="0" borderId="13" xfId="0" applyFont="1" applyFill="1" applyBorder="1" applyAlignment="1">
      <alignment horizontal="center" wrapText="1"/>
    </xf>
    <xf numFmtId="0" fontId="6" fillId="0" borderId="0" xfId="0" applyFont="1" applyFill="1" applyAlignment="1">
      <alignment horizontal="center" wrapText="1"/>
    </xf>
    <xf numFmtId="0" fontId="8" fillId="0" borderId="13" xfId="0" applyFont="1" applyFill="1" applyBorder="1" applyAlignment="1">
      <alignment horizont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0" fontId="3" fillId="0" borderId="0" xfId="0" applyFont="1" applyFill="1" applyAlignment="1">
      <alignment horizontal="center" wrapText="1"/>
    </xf>
    <xf numFmtId="0" fontId="5" fillId="0" borderId="13" xfId="0" applyFont="1" applyFill="1" applyBorder="1" applyAlignment="1">
      <alignment horizontal="center"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33" borderId="0" xfId="0" applyFont="1" applyFill="1" applyBorder="1" applyAlignment="1">
      <alignment horizontal="center"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0" borderId="0" xfId="0" applyFont="1" applyFill="1" applyBorder="1" applyAlignment="1">
      <alignment horizontal="center" wrapText="1"/>
    </xf>
    <xf numFmtId="0" fontId="7" fillId="33" borderId="0" xfId="0" applyFont="1" applyFill="1" applyAlignment="1">
      <alignment horizontal="left"/>
    </xf>
    <xf numFmtId="0" fontId="3" fillId="33" borderId="0" xfId="0" applyFont="1" applyFill="1" applyAlignment="1">
      <alignment horizontal="center"/>
    </xf>
    <xf numFmtId="0" fontId="6" fillId="33" borderId="0" xfId="0" applyFont="1" applyFill="1" applyBorder="1" applyAlignment="1">
      <alignment horizontal="left"/>
    </xf>
    <xf numFmtId="0" fontId="12" fillId="33" borderId="0" xfId="0" applyFont="1" applyFill="1" applyBorder="1" applyAlignment="1">
      <alignment horizontal="center"/>
    </xf>
    <xf numFmtId="0" fontId="5" fillId="0" borderId="13" xfId="0" applyFont="1" applyFill="1" applyBorder="1" applyAlignment="1">
      <alignment horizontal="right" wrapText="1"/>
    </xf>
    <xf numFmtId="0" fontId="0" fillId="0" borderId="0" xfId="0" applyFont="1" applyFill="1" applyAlignment="1">
      <alignment horizontal="left"/>
    </xf>
    <xf numFmtId="0" fontId="4" fillId="0" borderId="0" xfId="0" applyFont="1" applyFill="1" applyAlignment="1">
      <alignment horizontal="left" wrapText="1"/>
    </xf>
    <xf numFmtId="0" fontId="4" fillId="0" borderId="0" xfId="0" applyFont="1" applyFill="1" applyAlignment="1">
      <alignment horizontal="left"/>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10" xfId="0" applyFont="1" applyFill="1" applyBorder="1" applyAlignment="1">
      <alignment horizontal="center"/>
    </xf>
    <xf numFmtId="0" fontId="13" fillId="0" borderId="10" xfId="0" applyFont="1" applyFill="1" applyBorder="1" applyAlignment="1">
      <alignment horizontal="left"/>
    </xf>
    <xf numFmtId="172" fontId="13" fillId="0" borderId="10" xfId="42" applyNumberFormat="1" applyFont="1" applyFill="1" applyBorder="1" applyAlignment="1">
      <alignment horizontal="center"/>
    </xf>
    <xf numFmtId="172" fontId="6" fillId="0" borderId="10" xfId="0" applyNumberFormat="1" applyFont="1" applyFill="1" applyBorder="1" applyAlignment="1">
      <alignment horizontal="center" vertical="center" wrapText="1"/>
    </xf>
    <xf numFmtId="43" fontId="13" fillId="0" borderId="0" xfId="42" applyFont="1" applyFill="1" applyBorder="1" applyAlignment="1">
      <alignment horizontal="center" vertical="center" wrapText="1"/>
    </xf>
    <xf numFmtId="172" fontId="13" fillId="0" borderId="0" xfId="42" applyNumberFormat="1" applyFont="1" applyFill="1" applyBorder="1" applyAlignment="1">
      <alignment horizontal="center" vertical="center" wrapText="1"/>
    </xf>
    <xf numFmtId="178" fontId="13" fillId="0" borderId="0" xfId="42" applyNumberFormat="1" applyFont="1" applyFill="1" applyBorder="1" applyAlignment="1">
      <alignment horizontal="center" vertical="center" wrapText="1"/>
    </xf>
    <xf numFmtId="0" fontId="13" fillId="0" borderId="0" xfId="0" applyFont="1" applyFill="1" applyAlignment="1">
      <alignment/>
    </xf>
    <xf numFmtId="0" fontId="3" fillId="0" borderId="10" xfId="0" applyFont="1" applyFill="1" applyBorder="1" applyAlignment="1">
      <alignment horizontal="center" wrapText="1"/>
    </xf>
    <xf numFmtId="0" fontId="3" fillId="0" borderId="10" xfId="0" applyFont="1" applyFill="1" applyBorder="1" applyAlignment="1">
      <alignment horizontal="left" wrapText="1"/>
    </xf>
    <xf numFmtId="172" fontId="3" fillId="0" borderId="10" xfId="42" applyNumberFormat="1" applyFont="1" applyFill="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horizontal="left"/>
    </xf>
    <xf numFmtId="172" fontId="3" fillId="0" borderId="10" xfId="42" applyNumberFormat="1" applyFont="1" applyFill="1" applyBorder="1" applyAlignment="1">
      <alignment horizontal="center" wrapText="1"/>
    </xf>
    <xf numFmtId="172" fontId="39" fillId="0" borderId="10" xfId="0" applyNumberFormat="1" applyFont="1" applyFill="1" applyBorder="1" applyAlignment="1">
      <alignment horizontal="center" vertical="center" wrapText="1"/>
    </xf>
    <xf numFmtId="172" fontId="3" fillId="0" borderId="0" xfId="42" applyNumberFormat="1" applyFont="1" applyFill="1" applyBorder="1" applyAlignment="1">
      <alignment horizontal="center" wrapText="1"/>
    </xf>
    <xf numFmtId="172" fontId="7" fillId="0" borderId="23" xfId="0" applyNumberFormat="1" applyFont="1" applyFill="1" applyBorder="1" applyAlignment="1">
      <alignment horizontal="center" vertical="center" wrapText="1"/>
    </xf>
    <xf numFmtId="172" fontId="7" fillId="0" borderId="0" xfId="0" applyNumberFormat="1" applyFont="1" applyFill="1" applyBorder="1" applyAlignment="1">
      <alignment horizontal="center" vertical="center" wrapText="1"/>
    </xf>
    <xf numFmtId="172" fontId="6" fillId="0" borderId="0" xfId="0" applyNumberFormat="1" applyFont="1" applyFill="1" applyBorder="1" applyAlignment="1">
      <alignment horizontal="center" vertical="center" wrapText="1"/>
    </xf>
    <xf numFmtId="172" fontId="39" fillId="0" borderId="0" xfId="0" applyNumberFormat="1" applyFont="1" applyFill="1" applyBorder="1" applyAlignment="1">
      <alignment horizontal="center" vertical="center" wrapText="1"/>
    </xf>
    <xf numFmtId="172" fontId="7" fillId="0" borderId="11"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xdr:row>
      <xdr:rowOff>19050</xdr:rowOff>
    </xdr:from>
    <xdr:to>
      <xdr:col>1</xdr:col>
      <xdr:colOff>1266825</xdr:colOff>
      <xdr:row>2</xdr:row>
      <xdr:rowOff>19050</xdr:rowOff>
    </xdr:to>
    <xdr:sp>
      <xdr:nvSpPr>
        <xdr:cNvPr id="1" name="Straight Connector 1"/>
        <xdr:cNvSpPr>
          <a:spLocks/>
        </xdr:cNvSpPr>
      </xdr:nvSpPr>
      <xdr:spPr>
        <a:xfrm flipV="1">
          <a:off x="657225" y="38100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2</xdr:row>
      <xdr:rowOff>38100</xdr:rowOff>
    </xdr:from>
    <xdr:to>
      <xdr:col>2</xdr:col>
      <xdr:colOff>0</xdr:colOff>
      <xdr:row>2</xdr:row>
      <xdr:rowOff>38100</xdr:rowOff>
    </xdr:to>
    <xdr:sp>
      <xdr:nvSpPr>
        <xdr:cNvPr id="2" name="Straight Connector 2"/>
        <xdr:cNvSpPr>
          <a:spLocks/>
        </xdr:cNvSpPr>
      </xdr:nvSpPr>
      <xdr:spPr>
        <a:xfrm>
          <a:off x="2533650" y="400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XD%20CS%202019-2021\Cac%20chi%20cuc\OCOP\12.11\giai%20trinh,_du_toan%20Ocop%2012.11.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hung sửa đổi Ocop"/>
      <sheetName val="Dự toán chính sách Ocop "/>
      <sheetName val="Sheet1"/>
      <sheetName val="Dự toán chính sách Ocop  (2)"/>
    </sheetNames>
    <sheetDataSet>
      <sheetData sheetId="0">
        <row r="6">
          <cell r="A6">
            <v>1</v>
          </cell>
          <cell r="B6" t="str">
            <v>Hỗ trợ quy hoạch chi tiết hoặc lập dự án, phương án phát triển sản phẩm OCOP</v>
          </cell>
        </row>
        <row r="7">
          <cell r="A7" t="str">
            <v>-</v>
          </cell>
        </row>
        <row r="8">
          <cell r="B8" t="str">
            <v>Hỗ trợ chuyển giao công nghệ, trang thiết bị</v>
          </cell>
        </row>
        <row r="9">
          <cell r="A9" t="str">
            <v>-</v>
          </cell>
          <cell r="B9" t="str">
            <v>Hỗ trợ 50% kinh phí thực hiện chuyển giao công nghệ, trang thiết bị mới nhằm nâng cao năng suất, chất lượng và gia tăng giá trị các sản phẩm OCOP, nhưng tối đa không quá 2 tỷ đồng cho mỗi tổ chức, cá nhân. </v>
          </cell>
        </row>
        <row r="10">
          <cell r="A10">
            <v>3</v>
          </cell>
          <cell r="B10" t="str">
            <v>Chính sách đào tạo nguồn nhân lực</v>
          </cell>
        </row>
        <row r="11">
          <cell r="A11" t="str">
            <v>-</v>
          </cell>
        </row>
        <row r="12">
          <cell r="A12">
            <v>4</v>
          </cell>
          <cell r="B12" t="str">
            <v>Hỗ trợ xây dựng thương hiệu, công bố chất lượng, truy xuất nguồn gốc sản phẩm</v>
          </cell>
        </row>
        <row r="13">
          <cell r="A13" t="str">
            <v>-</v>
          </cell>
          <cell r="B13" t="str">
            <v>Hỗ trợ 100% kinh phí cho việc thiết kế, xây dựng, in ấn (mẫu) bộ nhận diện thương hiệu và xây dựng hồ sơ công bố chất lượng, mã số mã vạch cho sản phẩm OCOP, nhưng tối đa không quá 300 triệu đồng/sản phẩm cho mỗi tổ chức, cá nhân.</v>
          </cell>
        </row>
        <row r="14">
          <cell r="A14">
            <v>5</v>
          </cell>
          <cell r="B14" t="str">
            <v>Hỗ trợ bảo quản và tiêu thụ sản phẩm</v>
          </cell>
        </row>
        <row r="15">
          <cell r="A15" t="str">
            <v>5.1</v>
          </cell>
          <cell r="B15" t="str">
            <v>Các tổ chức, cá nhân trực tiếp sản xuất và tiêu thụ sản phẩm OCOP, được hỗ trợ một lần bằng 30% chi phí đầu tư xây dựng mới, mua sắm thiết bị cho kho, xưởng bảo quản, chế biến sản phẩm, nhưng không quá 1,5 tỷ đồng đối với kho, xưởng có thể tích chứa từ 1.</v>
          </cell>
        </row>
        <row r="16">
          <cell r="A16" t="str">
            <v>5.2</v>
          </cell>
          <cell r="B16" t="str">
            <v>Hỗ trợ 50% kinh phí xây dựng mô hình liên kết sản xuất với tiêu thụ sản phẩm, giữa doanh nghiệp và các tổ hợp tác, hợp tác xã tham gia OCOP, nhưng không quá 300 triệu đồng/mô hình.</v>
          </cell>
        </row>
        <row r="17">
          <cell r="A17" t="str">
            <v>5.3</v>
          </cell>
        </row>
        <row r="18">
          <cell r="A18">
            <v>6</v>
          </cell>
          <cell r="B18" t="str">
            <v>Chính sách thưởng cho các tổ chức, cá nhân có sản phẩm đạt 3-5 sao của chương trình OCOP</v>
          </cell>
        </row>
        <row r="19">
          <cell r="A19" t="str">
            <v>-</v>
          </cell>
          <cell r="B19" t="str">
            <v>Các tổ chức, cá nhân có sản phẩm tham gia Chương trình OCOP đạt tiêu chuẩn: Hạng 5 sao thưởng 70 triệu đồng/sản phẩm, hạng 4 sao thưởng 50 triệu đồng/sản phẩm, hạng 3 sao thưởng 30 triệu đồng/sản phẩm. Mức thưởng 1 lần/sản phẩm cho mỗi tổ chức, cá nhân.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4"/>
  <sheetViews>
    <sheetView tabSelected="1" zoomScale="95" zoomScaleNormal="95"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F7" sqref="F7"/>
    </sheetView>
  </sheetViews>
  <sheetFormatPr defaultColWidth="6.625" defaultRowHeight="15.75"/>
  <cols>
    <col min="1" max="1" width="3.25390625" style="3" customWidth="1"/>
    <col min="2" max="2" width="44.75390625" style="4" customWidth="1"/>
    <col min="3" max="3" width="18.125" style="5" customWidth="1"/>
    <col min="4" max="4" width="18.875" style="1" customWidth="1"/>
    <col min="5" max="6" width="21.50390625" style="1" customWidth="1"/>
    <col min="7" max="7" width="17.875" style="1" customWidth="1"/>
    <col min="8" max="8" width="3.375" style="1" customWidth="1"/>
    <col min="9" max="9" width="14.00390625" style="1" customWidth="1"/>
    <col min="10" max="10" width="3.50390625" style="1" customWidth="1"/>
    <col min="11" max="11" width="13.25390625" style="2" customWidth="1"/>
    <col min="12" max="12" width="4.75390625" style="2" customWidth="1"/>
    <col min="13" max="230" width="9.00390625" style="2" customWidth="1"/>
    <col min="231" max="231" width="2.50390625" style="2" customWidth="1"/>
    <col min="232" max="232" width="14.00390625" style="2" customWidth="1"/>
    <col min="233" max="233" width="4.50390625" style="2" customWidth="1"/>
    <col min="234" max="234" width="8.25390625" style="2" customWidth="1"/>
    <col min="235" max="235" width="5.00390625" style="2" customWidth="1"/>
    <col min="236" max="16384" width="6.625" style="2" customWidth="1"/>
  </cols>
  <sheetData>
    <row r="1" spans="1:6" s="259" customFormat="1" ht="23.25" customHeight="1">
      <c r="A1" s="257" t="s">
        <v>6</v>
      </c>
      <c r="B1" s="258"/>
      <c r="E1" s="260"/>
      <c r="F1" s="260"/>
    </row>
    <row r="2" spans="1:10" ht="36" customHeight="1">
      <c r="A2" s="343" t="s">
        <v>260</v>
      </c>
      <c r="B2" s="343"/>
      <c r="C2" s="343"/>
      <c r="D2" s="343"/>
      <c r="E2" s="343"/>
      <c r="F2" s="14"/>
      <c r="G2" s="14"/>
      <c r="H2" s="14"/>
      <c r="I2" s="14"/>
      <c r="J2" s="14"/>
    </row>
    <row r="3" spans="1:10" ht="18.75" customHeight="1">
      <c r="A3" s="14"/>
      <c r="B3" s="2"/>
      <c r="C3" s="15"/>
      <c r="E3" s="332"/>
      <c r="F3" s="16"/>
      <c r="G3" s="16"/>
      <c r="H3" s="16"/>
      <c r="I3" s="16"/>
      <c r="J3" s="16"/>
    </row>
    <row r="4" spans="1:10" ht="28.5" customHeight="1">
      <c r="A4" s="17" t="s">
        <v>0</v>
      </c>
      <c r="B4" s="17" t="s">
        <v>2</v>
      </c>
      <c r="C4" s="17" t="s">
        <v>3</v>
      </c>
      <c r="D4" s="17" t="s">
        <v>4</v>
      </c>
      <c r="E4" s="17" t="s">
        <v>261</v>
      </c>
      <c r="F4" s="18"/>
      <c r="G4" s="18"/>
      <c r="H4" s="18"/>
      <c r="I4" s="18"/>
      <c r="J4" s="18"/>
    </row>
    <row r="5" spans="1:12" ht="22.5" customHeight="1">
      <c r="A5" s="17"/>
      <c r="B5" s="17" t="s">
        <v>13</v>
      </c>
      <c r="C5" s="19">
        <f>C6+C16</f>
        <v>339303.668</v>
      </c>
      <c r="D5" s="19">
        <f>D6+D16</f>
        <v>354507.45999999996</v>
      </c>
      <c r="E5" s="19">
        <f>E6+E16</f>
        <v>693811.128</v>
      </c>
      <c r="F5" s="11">
        <f>E5-E18</f>
        <v>480683.128</v>
      </c>
      <c r="G5" s="10"/>
      <c r="H5" s="10"/>
      <c r="I5" s="10"/>
      <c r="J5" s="10"/>
      <c r="K5" s="10"/>
      <c r="L5" s="10"/>
    </row>
    <row r="6" spans="1:11" s="320" customFormat="1" ht="22.5" customHeight="1">
      <c r="A6" s="328" t="s">
        <v>227</v>
      </c>
      <c r="B6" s="329" t="s">
        <v>228</v>
      </c>
      <c r="C6" s="330">
        <f>C7+C12+C13+C14+C15</f>
        <v>161480.668</v>
      </c>
      <c r="D6" s="330">
        <f>D7+D12+D13+D14+D15</f>
        <v>178402.46</v>
      </c>
      <c r="E6" s="330">
        <f>E7+E12+E13+E14+E15</f>
        <v>339883.12799999997</v>
      </c>
      <c r="F6" s="318">
        <f>F5/2</f>
        <v>240341.564</v>
      </c>
      <c r="G6" s="317"/>
      <c r="H6" s="318"/>
      <c r="I6" s="318"/>
      <c r="J6" s="318"/>
      <c r="K6" s="319"/>
    </row>
    <row r="7" spans="1:10" ht="23.25" customHeight="1">
      <c r="A7" s="22" t="s">
        <v>9</v>
      </c>
      <c r="B7" s="23" t="s">
        <v>14</v>
      </c>
      <c r="C7" s="24">
        <f>SUM(C8:C11)</f>
        <v>68658.5</v>
      </c>
      <c r="D7" s="24">
        <f>SUM(D8:D11)</f>
        <v>73948.5</v>
      </c>
      <c r="E7" s="24">
        <f>SUM(E8:E11)</f>
        <v>142607</v>
      </c>
      <c r="F7" s="394"/>
      <c r="G7" s="10"/>
      <c r="H7" s="11"/>
      <c r="I7" s="12"/>
      <c r="J7" s="11"/>
    </row>
    <row r="8" spans="1:13" s="21" customFormat="1" ht="23.25" customHeight="1">
      <c r="A8" s="20">
        <v>1</v>
      </c>
      <c r="B8" s="8" t="s">
        <v>258</v>
      </c>
      <c r="C8" s="261">
        <f>'Trong trot'!F6</f>
        <v>16152</v>
      </c>
      <c r="D8" s="261">
        <f>'Trong trot'!H6</f>
        <v>17052</v>
      </c>
      <c r="E8" s="261">
        <f>C8+D8</f>
        <v>33204</v>
      </c>
      <c r="F8" s="395"/>
      <c r="G8" s="43"/>
      <c r="H8" s="43"/>
      <c r="I8" s="43"/>
      <c r="J8" s="43"/>
      <c r="K8" s="43"/>
      <c r="L8" s="43"/>
      <c r="M8" s="43"/>
    </row>
    <row r="9" spans="1:10" ht="23.25" customHeight="1">
      <c r="A9" s="20">
        <v>2</v>
      </c>
      <c r="B9" s="6" t="s">
        <v>15</v>
      </c>
      <c r="C9" s="262">
        <f>'chan nuoi'!F6</f>
        <v>20397.5</v>
      </c>
      <c r="D9" s="262">
        <f>'chan nuoi'!H6</f>
        <v>20987.5</v>
      </c>
      <c r="E9" s="261">
        <f aca="true" t="shared" si="0" ref="E9:E20">C9+D9</f>
        <v>41385</v>
      </c>
      <c r="F9" s="396"/>
      <c r="G9" s="10"/>
      <c r="H9" s="13"/>
      <c r="I9" s="13"/>
      <c r="J9" s="13"/>
    </row>
    <row r="10" spans="1:10" ht="23.25" customHeight="1">
      <c r="A10" s="20">
        <v>3</v>
      </c>
      <c r="B10" s="6" t="s">
        <v>16</v>
      </c>
      <c r="C10" s="7">
        <f>'thuy san'!F5</f>
        <v>10500</v>
      </c>
      <c r="D10" s="262">
        <f>'thuy san'!H5</f>
        <v>11300</v>
      </c>
      <c r="E10" s="261">
        <f t="shared" si="0"/>
        <v>21800</v>
      </c>
      <c r="F10" s="396"/>
      <c r="G10" s="10"/>
      <c r="H10" s="13"/>
      <c r="I10" s="13"/>
      <c r="J10" s="13"/>
    </row>
    <row r="11" spans="1:11" ht="23.25" customHeight="1">
      <c r="A11" s="20">
        <v>4</v>
      </c>
      <c r="B11" s="6" t="s">
        <v>17</v>
      </c>
      <c r="C11" s="263">
        <v>21609</v>
      </c>
      <c r="D11" s="263">
        <v>24609</v>
      </c>
      <c r="E11" s="261">
        <f t="shared" si="0"/>
        <v>46218</v>
      </c>
      <c r="F11" s="395"/>
      <c r="G11" s="264"/>
      <c r="H11" s="264"/>
      <c r="I11" s="264"/>
      <c r="J11" s="264"/>
      <c r="K11" s="264"/>
    </row>
    <row r="12" spans="1:10" s="166" customFormat="1" ht="26.25" customHeight="1">
      <c r="A12" s="387" t="s">
        <v>10</v>
      </c>
      <c r="B12" s="388" t="s">
        <v>28</v>
      </c>
      <c r="C12" s="389">
        <v>13000</v>
      </c>
      <c r="D12" s="389">
        <v>13000</v>
      </c>
      <c r="E12" s="382">
        <f t="shared" si="0"/>
        <v>26000</v>
      </c>
      <c r="F12" s="397"/>
      <c r="G12" s="226"/>
      <c r="H12" s="227"/>
      <c r="I12" s="228"/>
      <c r="J12" s="227"/>
    </row>
    <row r="13" spans="1:10" s="166" customFormat="1" ht="23.25" customHeight="1">
      <c r="A13" s="390" t="s">
        <v>11</v>
      </c>
      <c r="B13" s="391" t="s">
        <v>21</v>
      </c>
      <c r="C13" s="389">
        <v>23500</v>
      </c>
      <c r="D13" s="389">
        <v>23900</v>
      </c>
      <c r="E13" s="382">
        <f t="shared" si="0"/>
        <v>47400</v>
      </c>
      <c r="F13" s="397"/>
      <c r="G13" s="226"/>
      <c r="H13" s="167"/>
      <c r="I13" s="167"/>
      <c r="J13" s="167"/>
    </row>
    <row r="14" spans="1:10" s="166" customFormat="1" ht="25.5" customHeight="1">
      <c r="A14" s="390" t="s">
        <v>12</v>
      </c>
      <c r="B14" s="391" t="s">
        <v>18</v>
      </c>
      <c r="C14" s="392">
        <v>11265</v>
      </c>
      <c r="D14" s="392">
        <v>12245</v>
      </c>
      <c r="E14" s="382">
        <f t="shared" si="0"/>
        <v>23510</v>
      </c>
      <c r="F14" s="397"/>
      <c r="G14" s="226"/>
      <c r="H14" s="227"/>
      <c r="I14" s="228"/>
      <c r="J14" s="227"/>
    </row>
    <row r="15" spans="1:10" s="166" customFormat="1" ht="24" customHeight="1">
      <c r="A15" s="390" t="s">
        <v>25</v>
      </c>
      <c r="B15" s="391" t="s">
        <v>19</v>
      </c>
      <c r="C15" s="389">
        <f>'lai suat'!E8*1000</f>
        <v>45057.16799999999</v>
      </c>
      <c r="D15" s="389">
        <f>'lai suat'!G8*1000</f>
        <v>55308.959999999985</v>
      </c>
      <c r="E15" s="382">
        <f t="shared" si="0"/>
        <v>100366.12799999997</v>
      </c>
      <c r="F15" s="397"/>
      <c r="G15" s="226"/>
      <c r="H15" s="227"/>
      <c r="I15" s="228"/>
      <c r="J15" s="227"/>
    </row>
    <row r="16" spans="1:10" s="386" customFormat="1" ht="20.25" customHeight="1">
      <c r="A16" s="379" t="s">
        <v>229</v>
      </c>
      <c r="B16" s="380" t="s">
        <v>230</v>
      </c>
      <c r="C16" s="381">
        <f>C17+C18</f>
        <v>177823</v>
      </c>
      <c r="D16" s="381">
        <f>D17+D18</f>
        <v>176105</v>
      </c>
      <c r="E16" s="393">
        <f t="shared" si="0"/>
        <v>353928</v>
      </c>
      <c r="F16" s="398"/>
      <c r="G16" s="383"/>
      <c r="H16" s="384"/>
      <c r="I16" s="385"/>
      <c r="J16" s="384"/>
    </row>
    <row r="17" spans="1:10" s="166" customFormat="1" ht="24" customHeight="1">
      <c r="A17" s="387" t="s">
        <v>9</v>
      </c>
      <c r="B17" s="388" t="s">
        <v>20</v>
      </c>
      <c r="C17" s="389">
        <f>NTM!F5</f>
        <v>71400</v>
      </c>
      <c r="D17" s="389">
        <f>NTM!H5</f>
        <v>69400</v>
      </c>
      <c r="E17" s="382">
        <f t="shared" si="0"/>
        <v>140800</v>
      </c>
      <c r="F17" s="397"/>
      <c r="G17" s="226"/>
      <c r="H17" s="227"/>
      <c r="I17" s="228"/>
      <c r="J17" s="227"/>
    </row>
    <row r="18" spans="1:13" s="166" customFormat="1" ht="33" customHeight="1">
      <c r="A18" s="390" t="s">
        <v>10</v>
      </c>
      <c r="B18" s="388" t="s">
        <v>232</v>
      </c>
      <c r="C18" s="389">
        <f>SUM(C19:C20)</f>
        <v>106423</v>
      </c>
      <c r="D18" s="389">
        <f>SUM(D19:D20)</f>
        <v>106705</v>
      </c>
      <c r="E18" s="382">
        <f t="shared" si="0"/>
        <v>213128</v>
      </c>
      <c r="F18" s="397">
        <f>E18/2</f>
        <v>106564</v>
      </c>
      <c r="G18" s="226"/>
      <c r="H18" s="167"/>
      <c r="I18" s="226"/>
      <c r="J18" s="167"/>
      <c r="K18" s="227"/>
      <c r="L18" s="220"/>
      <c r="M18" s="227"/>
    </row>
    <row r="19" spans="1:13" ht="33.75" customHeight="1">
      <c r="A19" s="25">
        <v>1</v>
      </c>
      <c r="B19" s="8" t="s">
        <v>259</v>
      </c>
      <c r="C19" s="7">
        <v>70000</v>
      </c>
      <c r="D19" s="7">
        <v>70000</v>
      </c>
      <c r="E19" s="261">
        <f t="shared" si="0"/>
        <v>140000</v>
      </c>
      <c r="F19" s="396"/>
      <c r="K19" s="1"/>
      <c r="M19" s="1"/>
    </row>
    <row r="20" spans="1:13" ht="48.75" customHeight="1">
      <c r="A20" s="265">
        <v>2</v>
      </c>
      <c r="B20" s="331" t="s">
        <v>34</v>
      </c>
      <c r="C20" s="9">
        <v>36423</v>
      </c>
      <c r="D20" s="9">
        <v>36705</v>
      </c>
      <c r="E20" s="399">
        <f t="shared" si="0"/>
        <v>73128</v>
      </c>
      <c r="F20" s="396"/>
      <c r="H20" s="2"/>
      <c r="J20" s="2"/>
      <c r="K20" s="1"/>
      <c r="M20" s="1"/>
    </row>
    <row r="22" ht="28.5" customHeight="1">
      <c r="B22" s="266"/>
    </row>
    <row r="23" ht="15.75">
      <c r="B23" s="266"/>
    </row>
    <row r="24" ht="15.75">
      <c r="B24" s="266"/>
    </row>
  </sheetData>
  <sheetProtection/>
  <mergeCells count="1">
    <mergeCell ref="A2:E2"/>
  </mergeCells>
  <printOptions/>
  <pageMargins left="1.61" right="0" top="0.37" bottom="0.37" header="0.43" footer="0.36"/>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V17"/>
  <sheetViews>
    <sheetView zoomScalePageLayoutView="0" workbookViewId="0" topLeftCell="A1">
      <pane ySplit="5" topLeftCell="A6" activePane="bottomLeft" state="frozen"/>
      <selection pane="topLeft" activeCell="A1" sqref="A1"/>
      <selection pane="bottomLeft" activeCell="J8" sqref="J8"/>
    </sheetView>
  </sheetViews>
  <sheetFormatPr defaultColWidth="6.625" defaultRowHeight="15.75"/>
  <cols>
    <col min="1" max="1" width="3.75390625" style="167" customWidth="1"/>
    <col min="2" max="2" width="25.375" style="168" customWidth="1"/>
    <col min="3" max="3" width="6.125" style="37" customWidth="1"/>
    <col min="4" max="4" width="8.75390625" style="37" customWidth="1"/>
    <col min="5" max="5" width="9.75390625" style="169" customWidth="1"/>
    <col min="6" max="6" width="11.125" style="169" customWidth="1"/>
    <col min="7" max="7" width="8.75390625" style="37" customWidth="1"/>
    <col min="8" max="8" width="10.125" style="37" customWidth="1"/>
    <col min="9" max="10" width="10.00390625" style="37" customWidth="1"/>
    <col min="11" max="11" width="9.625" style="167" customWidth="1"/>
    <col min="12" max="12" width="11.875" style="167" customWidth="1"/>
    <col min="13" max="13" width="6.00390625" style="28" customWidth="1"/>
    <col min="14" max="14" width="14.75390625" style="28" customWidth="1"/>
    <col min="15" max="250" width="9.00390625" style="28" customWidth="1"/>
    <col min="251" max="251" width="2.50390625" style="28" customWidth="1"/>
    <col min="252" max="252" width="14.00390625" style="28" customWidth="1"/>
    <col min="253" max="253" width="4.50390625" style="28" customWidth="1"/>
    <col min="254" max="254" width="8.125" style="28" customWidth="1"/>
    <col min="255" max="255" width="5.00390625" style="28" customWidth="1"/>
    <col min="256" max="16384" width="6.625" style="28" customWidth="1"/>
  </cols>
  <sheetData>
    <row r="1" spans="1:12" ht="40.5" customHeight="1">
      <c r="A1" s="360" t="s">
        <v>257</v>
      </c>
      <c r="B1" s="360"/>
      <c r="C1" s="360"/>
      <c r="D1" s="360"/>
      <c r="E1" s="360"/>
      <c r="F1" s="360"/>
      <c r="G1" s="360"/>
      <c r="H1" s="360"/>
      <c r="I1" s="360"/>
      <c r="J1" s="360"/>
      <c r="K1" s="360"/>
      <c r="L1" s="360"/>
    </row>
    <row r="2" spans="1:12" ht="15.75">
      <c r="A2" s="148"/>
      <c r="B2" s="28"/>
      <c r="C2" s="149"/>
      <c r="D2" s="149"/>
      <c r="E2" s="149"/>
      <c r="F2" s="149"/>
      <c r="G2" s="149"/>
      <c r="H2" s="361" t="s">
        <v>1</v>
      </c>
      <c r="I2" s="361"/>
      <c r="J2" s="361"/>
      <c r="K2" s="361"/>
      <c r="L2" s="361"/>
    </row>
    <row r="3" spans="1:12" ht="30.75" customHeight="1">
      <c r="A3" s="362" t="s">
        <v>0</v>
      </c>
      <c r="B3" s="362" t="s">
        <v>2</v>
      </c>
      <c r="C3" s="362" t="s">
        <v>36</v>
      </c>
      <c r="D3" s="362" t="s">
        <v>37</v>
      </c>
      <c r="E3" s="363" t="s">
        <v>3</v>
      </c>
      <c r="F3" s="364"/>
      <c r="G3" s="363" t="s">
        <v>4</v>
      </c>
      <c r="H3" s="364"/>
      <c r="I3" s="363" t="s">
        <v>5</v>
      </c>
      <c r="J3" s="364"/>
      <c r="K3" s="363" t="s">
        <v>126</v>
      </c>
      <c r="L3" s="364"/>
    </row>
    <row r="4" spans="1:15" ht="45" customHeight="1">
      <c r="A4" s="362"/>
      <c r="B4" s="362"/>
      <c r="C4" s="362"/>
      <c r="D4" s="362"/>
      <c r="E4" s="151" t="s">
        <v>38</v>
      </c>
      <c r="F4" s="152" t="s">
        <v>39</v>
      </c>
      <c r="G4" s="151" t="s">
        <v>38</v>
      </c>
      <c r="H4" s="152" t="s">
        <v>39</v>
      </c>
      <c r="I4" s="151" t="s">
        <v>38</v>
      </c>
      <c r="J4" s="152" t="s">
        <v>39</v>
      </c>
      <c r="K4" s="150" t="s">
        <v>38</v>
      </c>
      <c r="L4" s="150" t="s">
        <v>40</v>
      </c>
      <c r="O4" s="170"/>
    </row>
    <row r="5" spans="1:14" ht="15.75">
      <c r="A5" s="333"/>
      <c r="B5" s="171" t="s">
        <v>125</v>
      </c>
      <c r="C5" s="334"/>
      <c r="D5" s="334"/>
      <c r="E5" s="334"/>
      <c r="F5" s="334">
        <f>F6+F7+F8+F12+F13</f>
        <v>71400</v>
      </c>
      <c r="G5" s="334"/>
      <c r="H5" s="334">
        <f aca="true" t="shared" si="0" ref="G5:L5">H6+H7+H8+H12+H13</f>
        <v>69400</v>
      </c>
      <c r="I5" s="334"/>
      <c r="J5" s="334">
        <f t="shared" si="0"/>
        <v>70900</v>
      </c>
      <c r="K5" s="334"/>
      <c r="L5" s="334">
        <f t="shared" si="0"/>
        <v>211700</v>
      </c>
      <c r="N5" s="170"/>
    </row>
    <row r="6" spans="1:12" ht="15.75">
      <c r="A6" s="321">
        <v>1</v>
      </c>
      <c r="B6" s="335" t="s">
        <v>22</v>
      </c>
      <c r="C6" s="322" t="s">
        <v>138</v>
      </c>
      <c r="D6" s="322">
        <v>5</v>
      </c>
      <c r="E6" s="322">
        <v>900</v>
      </c>
      <c r="F6" s="322">
        <f>E6*D6</f>
        <v>4500</v>
      </c>
      <c r="G6" s="322">
        <v>900</v>
      </c>
      <c r="H6" s="322">
        <f>D6*G6</f>
        <v>4500</v>
      </c>
      <c r="I6" s="322">
        <v>1000</v>
      </c>
      <c r="J6" s="322">
        <f>I6*D6</f>
        <v>5000</v>
      </c>
      <c r="K6" s="336">
        <f>E6+G6+I6</f>
        <v>2800</v>
      </c>
      <c r="L6" s="336">
        <f>F6+H6+J6</f>
        <v>14000</v>
      </c>
    </row>
    <row r="7" spans="1:256" ht="33" customHeight="1">
      <c r="A7" s="26">
        <v>2</v>
      </c>
      <c r="B7" s="27" t="s">
        <v>23</v>
      </c>
      <c r="C7" s="30"/>
      <c r="D7" s="172">
        <v>300</v>
      </c>
      <c r="E7" s="30">
        <v>55</v>
      </c>
      <c r="F7" s="322">
        <f>E7*D7</f>
        <v>16500</v>
      </c>
      <c r="G7" s="30">
        <v>55</v>
      </c>
      <c r="H7" s="30">
        <f>G7*D7</f>
        <v>16500</v>
      </c>
      <c r="I7" s="30">
        <v>55</v>
      </c>
      <c r="J7" s="30">
        <f>I7*D7</f>
        <v>16500</v>
      </c>
      <c r="K7" s="337">
        <f>E7+G7+I7</f>
        <v>165</v>
      </c>
      <c r="L7" s="337">
        <f>F7+H7+J7</f>
        <v>49500</v>
      </c>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ht="67.5" customHeight="1">
      <c r="A8" s="26">
        <v>3</v>
      </c>
      <c r="B8" s="27" t="s">
        <v>26</v>
      </c>
      <c r="C8" s="30"/>
      <c r="D8" s="172"/>
      <c r="E8" s="30">
        <f>E9+E10+E11</f>
        <v>33</v>
      </c>
      <c r="F8" s="30">
        <f aca="true" t="shared" si="1" ref="F8:L8">F9+F10+F11</f>
        <v>33000</v>
      </c>
      <c r="G8" s="30">
        <f t="shared" si="1"/>
        <v>29</v>
      </c>
      <c r="H8" s="30">
        <f t="shared" si="1"/>
        <v>32000</v>
      </c>
      <c r="I8" s="30">
        <f t="shared" si="1"/>
        <v>30</v>
      </c>
      <c r="J8" s="30">
        <f t="shared" si="1"/>
        <v>33000</v>
      </c>
      <c r="K8" s="30">
        <f t="shared" si="1"/>
        <v>92</v>
      </c>
      <c r="L8" s="30">
        <f t="shared" si="1"/>
        <v>98000</v>
      </c>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row>
    <row r="9" spans="1:256" ht="33.75" customHeight="1">
      <c r="A9" s="26" t="s">
        <v>29</v>
      </c>
      <c r="B9" s="27" t="s">
        <v>30</v>
      </c>
      <c r="C9" s="172" t="s">
        <v>139</v>
      </c>
      <c r="D9" s="172">
        <v>1000</v>
      </c>
      <c r="E9" s="30">
        <v>25</v>
      </c>
      <c r="F9" s="30">
        <f>E9*D9</f>
        <v>25000</v>
      </c>
      <c r="G9" s="30">
        <v>20</v>
      </c>
      <c r="H9" s="30">
        <f>D9*G9</f>
        <v>20000</v>
      </c>
      <c r="I9" s="30">
        <v>20</v>
      </c>
      <c r="J9" s="30">
        <f>I9*D9</f>
        <v>20000</v>
      </c>
      <c r="K9" s="337">
        <f aca="true" t="shared" si="2" ref="K9:L12">E9+G9+I9</f>
        <v>65</v>
      </c>
      <c r="L9" s="337">
        <f t="shared" si="2"/>
        <v>65000</v>
      </c>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c r="IV9" s="174"/>
    </row>
    <row r="10" spans="1:256" ht="54" customHeight="1">
      <c r="A10" s="26" t="s">
        <v>29</v>
      </c>
      <c r="B10" s="27" t="s">
        <v>31</v>
      </c>
      <c r="C10" s="172" t="s">
        <v>139</v>
      </c>
      <c r="D10" s="172">
        <v>1000</v>
      </c>
      <c r="E10" s="30">
        <v>3</v>
      </c>
      <c r="F10" s="30">
        <f>D10*E10</f>
        <v>3000</v>
      </c>
      <c r="G10" s="30">
        <v>3</v>
      </c>
      <c r="H10" s="30">
        <f>G10*2000</f>
        <v>6000</v>
      </c>
      <c r="I10" s="30">
        <v>3</v>
      </c>
      <c r="J10" s="30">
        <f>I10*2000</f>
        <v>6000</v>
      </c>
      <c r="K10" s="337">
        <f t="shared" si="2"/>
        <v>9</v>
      </c>
      <c r="L10" s="337">
        <f t="shared" si="2"/>
        <v>15000</v>
      </c>
      <c r="M10" s="377"/>
      <c r="N10" s="378"/>
      <c r="O10" s="378"/>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c r="IV10" s="174"/>
    </row>
    <row r="11" spans="1:256" ht="54" customHeight="1">
      <c r="A11" s="26" t="s">
        <v>29</v>
      </c>
      <c r="B11" s="27" t="s">
        <v>32</v>
      </c>
      <c r="C11" s="172" t="s">
        <v>139</v>
      </c>
      <c r="D11" s="30">
        <v>1000</v>
      </c>
      <c r="E11" s="30">
        <v>5</v>
      </c>
      <c r="F11" s="30">
        <f>E11*D11</f>
        <v>5000</v>
      </c>
      <c r="G11" s="30">
        <v>6</v>
      </c>
      <c r="H11" s="30">
        <f>D11*G11</f>
        <v>6000</v>
      </c>
      <c r="I11" s="30">
        <v>7</v>
      </c>
      <c r="J11" s="30">
        <f>D11*I11</f>
        <v>7000</v>
      </c>
      <c r="K11" s="172">
        <f t="shared" si="2"/>
        <v>18</v>
      </c>
      <c r="L11" s="172">
        <f t="shared" si="2"/>
        <v>18000</v>
      </c>
      <c r="M11" s="175"/>
      <c r="N11" s="175"/>
      <c r="O11" s="175"/>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V11" s="174"/>
    </row>
    <row r="12" spans="1:256" ht="31.5" customHeight="1">
      <c r="A12" s="26">
        <v>4</v>
      </c>
      <c r="B12" s="27" t="s">
        <v>24</v>
      </c>
      <c r="C12" s="172" t="s">
        <v>140</v>
      </c>
      <c r="D12" s="172">
        <v>2</v>
      </c>
      <c r="E12" s="30">
        <f>25*100</f>
        <v>2500</v>
      </c>
      <c r="F12" s="30">
        <f>D12*E12</f>
        <v>5000</v>
      </c>
      <c r="G12" s="30">
        <f>20*100</f>
        <v>2000</v>
      </c>
      <c r="H12" s="30">
        <f>G12*2</f>
        <v>4000</v>
      </c>
      <c r="I12" s="30">
        <f>100*20</f>
        <v>2000</v>
      </c>
      <c r="J12" s="30">
        <f>I12*2</f>
        <v>4000</v>
      </c>
      <c r="K12" s="337">
        <f t="shared" si="2"/>
        <v>6500</v>
      </c>
      <c r="L12" s="337">
        <f t="shared" si="2"/>
        <v>13000</v>
      </c>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c r="IV12" s="174"/>
    </row>
    <row r="13" spans="1:12" s="174" customFormat="1" ht="47.25">
      <c r="A13" s="338">
        <v>5</v>
      </c>
      <c r="B13" s="339" t="s">
        <v>27</v>
      </c>
      <c r="C13" s="340" t="s">
        <v>141</v>
      </c>
      <c r="D13" s="341">
        <v>2</v>
      </c>
      <c r="E13" s="341">
        <v>6200</v>
      </c>
      <c r="F13" s="341">
        <f>E13*D13</f>
        <v>12400</v>
      </c>
      <c r="G13" s="341">
        <v>6200</v>
      </c>
      <c r="H13" s="341">
        <f>G13*D13</f>
        <v>12400</v>
      </c>
      <c r="I13" s="341">
        <v>6200</v>
      </c>
      <c r="J13" s="341">
        <f>I13*D13</f>
        <v>12400</v>
      </c>
      <c r="K13" s="341">
        <f>E13+G13+I13</f>
        <v>18600</v>
      </c>
      <c r="L13" s="342">
        <f>F13+H13+J13</f>
        <v>37200</v>
      </c>
    </row>
    <row r="14" spans="7:12" ht="20.25" customHeight="1">
      <c r="G14" s="169"/>
      <c r="H14" s="169"/>
      <c r="I14" s="169"/>
      <c r="J14" s="169"/>
      <c r="K14" s="169"/>
      <c r="L14" s="169"/>
    </row>
    <row r="15" spans="7:12" ht="15.75">
      <c r="G15" s="169"/>
      <c r="H15" s="169"/>
      <c r="I15" s="169"/>
      <c r="J15" s="169"/>
      <c r="K15" s="169"/>
      <c r="L15" s="169"/>
    </row>
    <row r="16" spans="7:12" ht="15.75">
      <c r="G16" s="169"/>
      <c r="H16" s="169"/>
      <c r="I16" s="169"/>
      <c r="J16" s="169"/>
      <c r="K16" s="169"/>
      <c r="L16" s="169"/>
    </row>
    <row r="17" spans="7:12" ht="15.75">
      <c r="G17" s="169"/>
      <c r="H17" s="169"/>
      <c r="I17" s="169"/>
      <c r="J17" s="169"/>
      <c r="K17" s="169"/>
      <c r="L17" s="169"/>
    </row>
  </sheetData>
  <sheetProtection/>
  <mergeCells count="11">
    <mergeCell ref="K3:L3"/>
    <mergeCell ref="M10:O10"/>
    <mergeCell ref="A1:L1"/>
    <mergeCell ref="H2:L2"/>
    <mergeCell ref="A3:A4"/>
    <mergeCell ref="B3:B4"/>
    <mergeCell ref="C3:C4"/>
    <mergeCell ref="D3:D4"/>
    <mergeCell ref="E3:F3"/>
    <mergeCell ref="G3:H3"/>
    <mergeCell ref="I3:J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8"/>
  <sheetViews>
    <sheetView zoomScale="95" zoomScaleNormal="95" zoomScalePageLayoutView="0" workbookViewId="0" topLeftCell="A1">
      <pane xSplit="2" ySplit="3" topLeftCell="C4" activePane="bottomRight" state="frozen"/>
      <selection pane="topLeft" activeCell="A1" sqref="A1"/>
      <selection pane="topRight" activeCell="C1" sqref="C1"/>
      <selection pane="bottomLeft" activeCell="A6" sqref="A6"/>
      <selection pane="bottomRight" activeCell="D7" sqref="D7"/>
    </sheetView>
  </sheetViews>
  <sheetFormatPr defaultColWidth="6.625" defaultRowHeight="15.75"/>
  <cols>
    <col min="1" max="1" width="3.25390625" style="3" customWidth="1"/>
    <col min="2" max="2" width="35.375" style="4" customWidth="1"/>
    <col min="3" max="3" width="16.00390625" style="5" bestFit="1" customWidth="1"/>
    <col min="4" max="4" width="16.25390625" style="1" customWidth="1"/>
    <col min="5" max="5" width="15.25390625" style="1" customWidth="1"/>
    <col min="6" max="6" width="21.50390625" style="1" customWidth="1"/>
    <col min="7" max="8" width="17.875" style="1" customWidth="1"/>
    <col min="9" max="9" width="10.875" style="1" customWidth="1"/>
    <col min="10" max="10" width="17.875" style="1" customWidth="1"/>
    <col min="11" max="230" width="9.00390625" style="2" customWidth="1"/>
    <col min="231" max="231" width="2.50390625" style="2" customWidth="1"/>
    <col min="232" max="232" width="14.00390625" style="2" customWidth="1"/>
    <col min="233" max="233" width="4.50390625" style="2" customWidth="1"/>
    <col min="234" max="234" width="8.25390625" style="2" customWidth="1"/>
    <col min="235" max="235" width="5.00390625" style="2" customWidth="1"/>
    <col min="236" max="16384" width="6.625" style="2" customWidth="1"/>
  </cols>
  <sheetData>
    <row r="1" spans="1:10" ht="36" customHeight="1">
      <c r="A1" s="343" t="s">
        <v>7</v>
      </c>
      <c r="B1" s="343"/>
      <c r="C1" s="343"/>
      <c r="D1" s="343"/>
      <c r="E1" s="343"/>
      <c r="F1" s="343"/>
      <c r="G1" s="14"/>
      <c r="H1" s="14"/>
      <c r="I1" s="14"/>
      <c r="J1" s="14"/>
    </row>
    <row r="2" spans="1:10" ht="18.75" customHeight="1">
      <c r="A2" s="14"/>
      <c r="B2" s="2"/>
      <c r="C2" s="15"/>
      <c r="E2" s="344" t="s">
        <v>1</v>
      </c>
      <c r="F2" s="344"/>
      <c r="G2" s="16"/>
      <c r="H2" s="16"/>
      <c r="I2" s="16"/>
      <c r="J2" s="16"/>
    </row>
    <row r="3" spans="1:10" ht="28.5" customHeight="1">
      <c r="A3" s="17" t="s">
        <v>0</v>
      </c>
      <c r="B3" s="17" t="s">
        <v>2</v>
      </c>
      <c r="C3" s="17" t="s">
        <v>3</v>
      </c>
      <c r="D3" s="17" t="s">
        <v>4</v>
      </c>
      <c r="E3" s="17" t="s">
        <v>5</v>
      </c>
      <c r="F3" s="17" t="s">
        <v>8</v>
      </c>
      <c r="G3" s="18"/>
      <c r="H3" s="18"/>
      <c r="I3" s="18"/>
      <c r="J3" s="18"/>
    </row>
    <row r="4" spans="1:10" s="166" customFormat="1" ht="41.25" customHeight="1">
      <c r="A4" s="165"/>
      <c r="B4" s="150" t="s">
        <v>13</v>
      </c>
      <c r="C4" s="327">
        <f>SUM(C5:C7)</f>
        <v>103423</v>
      </c>
      <c r="D4" s="327">
        <f>SUM(D5:D7)</f>
        <v>103705</v>
      </c>
      <c r="E4" s="327">
        <f>SUM(E5:E7)</f>
        <v>104016</v>
      </c>
      <c r="F4" s="327">
        <f>SUM(F5:F7)</f>
        <v>311144</v>
      </c>
      <c r="G4" s="226"/>
      <c r="H4" s="227"/>
      <c r="I4" s="228"/>
      <c r="J4" s="227"/>
    </row>
    <row r="5" spans="1:6" ht="33.75" customHeight="1">
      <c r="A5" s="323">
        <v>1</v>
      </c>
      <c r="B5" s="324" t="s">
        <v>33</v>
      </c>
      <c r="C5" s="325">
        <v>60000</v>
      </c>
      <c r="D5" s="325">
        <v>60000</v>
      </c>
      <c r="E5" s="325">
        <v>60000</v>
      </c>
      <c r="F5" s="326">
        <f>C5+D5+E5</f>
        <v>180000</v>
      </c>
    </row>
    <row r="6" spans="1:10" s="28" customFormat="1" ht="48.75" customHeight="1">
      <c r="A6" s="29">
        <v>2</v>
      </c>
      <c r="B6" s="34" t="s">
        <v>34</v>
      </c>
      <c r="C6" s="35">
        <v>36423</v>
      </c>
      <c r="D6" s="35">
        <v>36705</v>
      </c>
      <c r="E6" s="35">
        <v>37016</v>
      </c>
      <c r="F6" s="36">
        <v>110144</v>
      </c>
      <c r="G6" s="37"/>
      <c r="H6" s="37"/>
      <c r="I6" s="37"/>
      <c r="J6" s="37"/>
    </row>
    <row r="7" spans="1:6" ht="28.5" customHeight="1">
      <c r="A7" s="31">
        <v>3</v>
      </c>
      <c r="B7" s="32" t="s">
        <v>35</v>
      </c>
      <c r="C7" s="9">
        <v>7000</v>
      </c>
      <c r="D7" s="9">
        <v>7000</v>
      </c>
      <c r="E7" s="9">
        <v>7000</v>
      </c>
      <c r="F7" s="33">
        <f>C7+D7+E7</f>
        <v>21000</v>
      </c>
    </row>
    <row r="8" spans="2:11" s="3" customFormat="1" ht="28.5" customHeight="1">
      <c r="B8" s="4"/>
      <c r="C8" s="5"/>
      <c r="D8" s="1"/>
      <c r="E8" s="1"/>
      <c r="F8" s="1"/>
      <c r="G8" s="1"/>
      <c r="H8" s="1"/>
      <c r="I8" s="1"/>
      <c r="J8" s="1"/>
      <c r="K8" s="2"/>
    </row>
  </sheetData>
  <sheetProtection/>
  <mergeCells count="2">
    <mergeCell ref="A1:F1"/>
    <mergeCell ref="E2:F2"/>
  </mergeCells>
  <printOptions/>
  <pageMargins left="1.61" right="0" top="0.25" bottom="0.93" header="0.31496062992126" footer="0.69"/>
  <pageSetup horizontalDpi="600" verticalDpi="600" orientation="landscape" paperSize="9"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N22"/>
  <sheetViews>
    <sheetView zoomScale="90" zoomScaleNormal="90" zoomScalePageLayoutView="0" workbookViewId="0" topLeftCell="A10">
      <selection activeCell="F22" sqref="F22"/>
    </sheetView>
  </sheetViews>
  <sheetFormatPr defaultColWidth="6.625" defaultRowHeight="15.75"/>
  <cols>
    <col min="1" max="1" width="3.375" style="57" bestFit="1" customWidth="1"/>
    <col min="2" max="2" width="28.875" style="58" customWidth="1"/>
    <col min="3" max="3" width="5.875" style="39" customWidth="1"/>
    <col min="4" max="4" width="9.25390625" style="39" customWidth="1"/>
    <col min="5" max="5" width="6.375" style="59" customWidth="1"/>
    <col min="6" max="6" width="12.375" style="308" customWidth="1"/>
    <col min="7" max="7" width="7.25390625" style="39" customWidth="1"/>
    <col min="8" max="8" width="10.625" style="39" bestFit="1" customWidth="1"/>
    <col min="9" max="9" width="6.875" style="39" customWidth="1"/>
    <col min="10" max="10" width="10.625" style="39" bestFit="1" customWidth="1"/>
    <col min="11" max="11" width="9.375" style="57" bestFit="1" customWidth="1"/>
    <col min="12" max="12" width="10.625" style="57" bestFit="1" customWidth="1"/>
    <col min="13" max="13" width="7.625" style="38" bestFit="1" customWidth="1"/>
    <col min="14" max="16384" width="6.625" style="38" customWidth="1"/>
  </cols>
  <sheetData>
    <row r="1" spans="1:6" s="62" customFormat="1" ht="15">
      <c r="A1" s="60" t="s">
        <v>6</v>
      </c>
      <c r="B1" s="61"/>
      <c r="C1" s="61"/>
      <c r="D1" s="61"/>
      <c r="E1" s="61"/>
      <c r="F1" s="297"/>
    </row>
    <row r="2" spans="1:12" ht="15">
      <c r="A2" s="345" t="s">
        <v>250</v>
      </c>
      <c r="B2" s="345"/>
      <c r="C2" s="345"/>
      <c r="D2" s="345"/>
      <c r="E2" s="345"/>
      <c r="F2" s="345"/>
      <c r="G2" s="345"/>
      <c r="H2" s="345"/>
      <c r="I2" s="345"/>
      <c r="J2" s="345"/>
      <c r="K2" s="345"/>
      <c r="L2" s="345"/>
    </row>
    <row r="3" spans="1:12" ht="15.75" customHeight="1">
      <c r="A3" s="63"/>
      <c r="B3" s="38"/>
      <c r="C3" s="65"/>
      <c r="D3" s="65"/>
      <c r="E3" s="65"/>
      <c r="F3" s="298"/>
      <c r="G3" s="65"/>
      <c r="I3" s="66"/>
      <c r="J3" s="346" t="s">
        <v>1</v>
      </c>
      <c r="K3" s="346"/>
      <c r="L3" s="346"/>
    </row>
    <row r="4" spans="1:12" ht="15">
      <c r="A4" s="347" t="s">
        <v>0</v>
      </c>
      <c r="B4" s="347" t="s">
        <v>2</v>
      </c>
      <c r="C4" s="347" t="s">
        <v>36</v>
      </c>
      <c r="D4" s="347" t="s">
        <v>37</v>
      </c>
      <c r="E4" s="348" t="s">
        <v>3</v>
      </c>
      <c r="F4" s="349"/>
      <c r="G4" s="348" t="s">
        <v>4</v>
      </c>
      <c r="H4" s="349"/>
      <c r="I4" s="348" t="s">
        <v>5</v>
      </c>
      <c r="J4" s="349"/>
      <c r="K4" s="348" t="s">
        <v>8</v>
      </c>
      <c r="L4" s="349"/>
    </row>
    <row r="5" spans="1:12" ht="49.5" customHeight="1">
      <c r="A5" s="347"/>
      <c r="B5" s="347"/>
      <c r="C5" s="347"/>
      <c r="D5" s="347"/>
      <c r="E5" s="42" t="s">
        <v>38</v>
      </c>
      <c r="F5" s="299" t="s">
        <v>39</v>
      </c>
      <c r="G5" s="42" t="s">
        <v>38</v>
      </c>
      <c r="H5" s="45" t="s">
        <v>39</v>
      </c>
      <c r="I5" s="42" t="s">
        <v>38</v>
      </c>
      <c r="J5" s="45" t="s">
        <v>39</v>
      </c>
      <c r="K5" s="40" t="s">
        <v>38</v>
      </c>
      <c r="L5" s="40" t="s">
        <v>40</v>
      </c>
    </row>
    <row r="6" spans="1:14" s="44" customFormat="1" ht="15">
      <c r="A6" s="40"/>
      <c r="B6" s="40" t="s">
        <v>125</v>
      </c>
      <c r="C6" s="40"/>
      <c r="D6" s="40"/>
      <c r="E6" s="42"/>
      <c r="F6" s="300">
        <f>F7+F9+F15+F18+F20</f>
        <v>16152</v>
      </c>
      <c r="G6" s="300">
        <f aca="true" t="shared" si="0" ref="G6:L6">G7+G9+G15+G18+G20</f>
        <v>31</v>
      </c>
      <c r="H6" s="300">
        <f t="shared" si="0"/>
        <v>17052</v>
      </c>
      <c r="I6" s="300">
        <f t="shared" si="0"/>
        <v>31</v>
      </c>
      <c r="J6" s="300">
        <f t="shared" si="0"/>
        <v>17652</v>
      </c>
      <c r="K6" s="300">
        <f t="shared" si="0"/>
        <v>93</v>
      </c>
      <c r="L6" s="300">
        <f t="shared" si="0"/>
        <v>50856</v>
      </c>
      <c r="M6" s="250"/>
      <c r="N6" s="245">
        <f>M6-L6</f>
        <v>-50856</v>
      </c>
    </row>
    <row r="7" spans="1:13" s="44" customFormat="1" ht="15">
      <c r="A7" s="40">
        <v>1</v>
      </c>
      <c r="B7" s="40" t="s">
        <v>41</v>
      </c>
      <c r="C7" s="40"/>
      <c r="D7" s="40"/>
      <c r="E7" s="42"/>
      <c r="F7" s="299">
        <f>F8</f>
        <v>1000</v>
      </c>
      <c r="G7" s="45">
        <f aca="true" t="shared" si="1" ref="G7:L7">G8</f>
        <v>1</v>
      </c>
      <c r="H7" s="45">
        <f t="shared" si="1"/>
        <v>1000</v>
      </c>
      <c r="I7" s="45">
        <f t="shared" si="1"/>
        <v>1</v>
      </c>
      <c r="J7" s="45">
        <f t="shared" si="1"/>
        <v>1000</v>
      </c>
      <c r="K7" s="45">
        <f t="shared" si="1"/>
        <v>3</v>
      </c>
      <c r="L7" s="45">
        <f t="shared" si="1"/>
        <v>3000</v>
      </c>
      <c r="M7" s="75"/>
    </row>
    <row r="8" spans="1:13" s="44" customFormat="1" ht="140.25" customHeight="1">
      <c r="A8" s="51"/>
      <c r="B8" s="72" t="s">
        <v>42</v>
      </c>
      <c r="C8" s="46" t="s">
        <v>43</v>
      </c>
      <c r="D8" s="40" t="s">
        <v>44</v>
      </c>
      <c r="E8" s="46">
        <v>1</v>
      </c>
      <c r="F8" s="77">
        <v>1000</v>
      </c>
      <c r="G8" s="46">
        <v>1</v>
      </c>
      <c r="H8" s="46">
        <v>1000</v>
      </c>
      <c r="I8" s="46">
        <v>1</v>
      </c>
      <c r="J8" s="46">
        <v>1000</v>
      </c>
      <c r="K8" s="47">
        <f>E8+G8+I8</f>
        <v>3</v>
      </c>
      <c r="L8" s="48">
        <f>F8+H8+J8</f>
        <v>3000</v>
      </c>
      <c r="M8" s="75"/>
    </row>
    <row r="9" spans="1:13" s="44" customFormat="1" ht="28.5">
      <c r="A9" s="46">
        <v>2</v>
      </c>
      <c r="B9" s="76" t="s">
        <v>45</v>
      </c>
      <c r="C9" s="46"/>
      <c r="D9" s="40"/>
      <c r="E9" s="46"/>
      <c r="F9" s="301">
        <f>SUM(F10:F14)</f>
        <v>10500</v>
      </c>
      <c r="G9" s="49"/>
      <c r="H9" s="49">
        <f>SUM(H10:H14)</f>
        <v>10500</v>
      </c>
      <c r="I9" s="49"/>
      <c r="J9" s="49">
        <f>SUM(J10:J14)</f>
        <v>10500</v>
      </c>
      <c r="K9" s="49"/>
      <c r="L9" s="49">
        <f>SUM(L10:L14)</f>
        <v>31500</v>
      </c>
      <c r="M9" s="75"/>
    </row>
    <row r="10" spans="1:13" s="44" customFormat="1" ht="70.5" customHeight="1">
      <c r="A10" s="46"/>
      <c r="B10" s="82" t="s">
        <v>237</v>
      </c>
      <c r="C10" s="46"/>
      <c r="D10" s="293" t="s">
        <v>235</v>
      </c>
      <c r="E10" s="135">
        <v>3</v>
      </c>
      <c r="F10" s="302">
        <f>E10*300</f>
        <v>900</v>
      </c>
      <c r="G10" s="135">
        <v>3</v>
      </c>
      <c r="H10" s="295">
        <f>G10*300</f>
        <v>900</v>
      </c>
      <c r="I10" s="135">
        <v>3</v>
      </c>
      <c r="J10" s="295">
        <f>I10*300</f>
        <v>900</v>
      </c>
      <c r="K10" s="295">
        <f aca="true" t="shared" si="2" ref="K10:L13">E10+G10+I10</f>
        <v>9</v>
      </c>
      <c r="L10" s="47">
        <f t="shared" si="2"/>
        <v>2700</v>
      </c>
      <c r="M10" s="75"/>
    </row>
    <row r="11" spans="1:13" s="44" customFormat="1" ht="81.75" customHeight="1">
      <c r="A11" s="51"/>
      <c r="B11" s="72" t="s">
        <v>234</v>
      </c>
      <c r="C11" s="294" t="s">
        <v>46</v>
      </c>
      <c r="D11" s="294" t="s">
        <v>47</v>
      </c>
      <c r="E11" s="296">
        <v>100</v>
      </c>
      <c r="F11" s="303">
        <v>100</v>
      </c>
      <c r="G11" s="296">
        <v>100</v>
      </c>
      <c r="H11" s="296">
        <v>100</v>
      </c>
      <c r="I11" s="296">
        <v>100</v>
      </c>
      <c r="J11" s="296">
        <v>100</v>
      </c>
      <c r="K11" s="296">
        <f t="shared" si="2"/>
        <v>300</v>
      </c>
      <c r="L11" s="47">
        <f t="shared" si="2"/>
        <v>300</v>
      </c>
      <c r="M11" s="75"/>
    </row>
    <row r="12" spans="1:14" s="44" customFormat="1" ht="45">
      <c r="A12" s="51"/>
      <c r="B12" s="251" t="s">
        <v>236</v>
      </c>
      <c r="C12" s="51" t="s">
        <v>48</v>
      </c>
      <c r="D12" s="52" t="s">
        <v>239</v>
      </c>
      <c r="E12" s="51">
        <v>300</v>
      </c>
      <c r="F12" s="73">
        <f>E12*25</f>
        <v>7500</v>
      </c>
      <c r="G12" s="51">
        <v>300</v>
      </c>
      <c r="H12" s="51">
        <f>G12*25</f>
        <v>7500</v>
      </c>
      <c r="I12" s="51">
        <v>300</v>
      </c>
      <c r="J12" s="51">
        <f>I12*25</f>
        <v>7500</v>
      </c>
      <c r="K12" s="47">
        <f t="shared" si="2"/>
        <v>900</v>
      </c>
      <c r="L12" s="47">
        <f t="shared" si="2"/>
        <v>22500</v>
      </c>
      <c r="M12" s="75"/>
      <c r="N12" s="44">
        <f>200*25</f>
        <v>5000</v>
      </c>
    </row>
    <row r="13" spans="1:13" s="44" customFormat="1" ht="136.5" customHeight="1">
      <c r="A13" s="51"/>
      <c r="B13" s="251" t="s">
        <v>238</v>
      </c>
      <c r="C13" s="51" t="s">
        <v>68</v>
      </c>
      <c r="D13" s="52" t="s">
        <v>240</v>
      </c>
      <c r="E13" s="73">
        <v>10</v>
      </c>
      <c r="F13" s="73">
        <v>1000</v>
      </c>
      <c r="G13" s="73">
        <v>10</v>
      </c>
      <c r="H13" s="73">
        <v>1000</v>
      </c>
      <c r="I13" s="73">
        <v>10</v>
      </c>
      <c r="J13" s="73">
        <v>1000</v>
      </c>
      <c r="K13" s="47">
        <f t="shared" si="2"/>
        <v>30</v>
      </c>
      <c r="L13" s="47">
        <f t="shared" si="2"/>
        <v>3000</v>
      </c>
      <c r="M13" s="75"/>
    </row>
    <row r="14" spans="1:13" s="44" customFormat="1" ht="63.75" customHeight="1">
      <c r="A14" s="51"/>
      <c r="B14" s="251" t="s">
        <v>241</v>
      </c>
      <c r="C14" s="51" t="s">
        <v>68</v>
      </c>
      <c r="D14" s="52" t="s">
        <v>242</v>
      </c>
      <c r="E14" s="51">
        <v>1</v>
      </c>
      <c r="F14" s="73">
        <v>1000</v>
      </c>
      <c r="G14" s="51">
        <v>1</v>
      </c>
      <c r="H14" s="51">
        <v>1000</v>
      </c>
      <c r="I14" s="51">
        <v>1</v>
      </c>
      <c r="J14" s="51">
        <v>1000</v>
      </c>
      <c r="K14" s="47">
        <v>3</v>
      </c>
      <c r="L14" s="47">
        <f>F14+H14+J14</f>
        <v>3000</v>
      </c>
      <c r="M14" s="75"/>
    </row>
    <row r="15" spans="1:13" s="246" customFormat="1" ht="75" customHeight="1">
      <c r="A15" s="46">
        <v>3</v>
      </c>
      <c r="B15" s="41" t="s">
        <v>243</v>
      </c>
      <c r="C15" s="52"/>
      <c r="D15" s="50"/>
      <c r="E15" s="48"/>
      <c r="F15" s="304">
        <f>F16+F17</f>
        <v>1552</v>
      </c>
      <c r="G15" s="48"/>
      <c r="H15" s="48">
        <f>H16+H17</f>
        <v>1552</v>
      </c>
      <c r="I15" s="48"/>
      <c r="J15" s="48">
        <f>J16+J17</f>
        <v>1552</v>
      </c>
      <c r="K15" s="48"/>
      <c r="L15" s="48">
        <f>L16+L17</f>
        <v>4656</v>
      </c>
      <c r="M15" s="247"/>
    </row>
    <row r="16" spans="1:13" s="44" customFormat="1" ht="36" customHeight="1">
      <c r="A16" s="54"/>
      <c r="B16" s="251" t="s">
        <v>49</v>
      </c>
      <c r="C16" s="52" t="s">
        <v>48</v>
      </c>
      <c r="D16" s="52" t="s">
        <v>50</v>
      </c>
      <c r="E16" s="47">
        <v>80</v>
      </c>
      <c r="F16" s="305">
        <f>E16*5</f>
        <v>400</v>
      </c>
      <c r="G16" s="47">
        <v>80</v>
      </c>
      <c r="H16" s="305">
        <f>G16*5</f>
        <v>400</v>
      </c>
      <c r="I16" s="47">
        <v>80</v>
      </c>
      <c r="J16" s="305">
        <f>I16*5</f>
        <v>400</v>
      </c>
      <c r="K16" s="47">
        <f>E16+G16+I16</f>
        <v>240</v>
      </c>
      <c r="L16" s="47">
        <f>F16+H16+J16</f>
        <v>1200</v>
      </c>
      <c r="M16" s="75"/>
    </row>
    <row r="17" spans="1:13" s="44" customFormat="1" ht="45">
      <c r="A17" s="54"/>
      <c r="B17" s="251" t="s">
        <v>244</v>
      </c>
      <c r="C17" s="52" t="s">
        <v>48</v>
      </c>
      <c r="D17" s="52" t="s">
        <v>51</v>
      </c>
      <c r="E17" s="47">
        <v>80</v>
      </c>
      <c r="F17" s="305">
        <f>E17*14.4</f>
        <v>1152</v>
      </c>
      <c r="G17" s="47">
        <v>80</v>
      </c>
      <c r="H17" s="305">
        <f>G17*14.4</f>
        <v>1152</v>
      </c>
      <c r="I17" s="47">
        <v>80</v>
      </c>
      <c r="J17" s="305">
        <f>I17*14.4</f>
        <v>1152</v>
      </c>
      <c r="K17" s="47">
        <f>E17+G17+I17</f>
        <v>240</v>
      </c>
      <c r="L17" s="47">
        <f>F17+H17+J17</f>
        <v>3456</v>
      </c>
      <c r="M17" s="75"/>
    </row>
    <row r="18" spans="1:12" ht="21" customHeight="1">
      <c r="A18" s="56">
        <v>4</v>
      </c>
      <c r="B18" s="249" t="s">
        <v>52</v>
      </c>
      <c r="C18" s="54"/>
      <c r="D18" s="54"/>
      <c r="E18" s="55"/>
      <c r="F18" s="306">
        <f>F19</f>
        <v>600</v>
      </c>
      <c r="G18" s="306">
        <f aca="true" t="shared" si="3" ref="G18:L18">G19</f>
        <v>30</v>
      </c>
      <c r="H18" s="306">
        <f t="shared" si="3"/>
        <v>600</v>
      </c>
      <c r="I18" s="306">
        <f t="shared" si="3"/>
        <v>30</v>
      </c>
      <c r="J18" s="306">
        <f t="shared" si="3"/>
        <v>600</v>
      </c>
      <c r="K18" s="306">
        <f t="shared" si="3"/>
        <v>90</v>
      </c>
      <c r="L18" s="306">
        <f t="shared" si="3"/>
        <v>1800</v>
      </c>
    </row>
    <row r="19" spans="1:13" ht="147" customHeight="1">
      <c r="A19" s="54"/>
      <c r="B19" s="95" t="s">
        <v>245</v>
      </c>
      <c r="C19" s="51" t="s">
        <v>48</v>
      </c>
      <c r="D19" s="83" t="s">
        <v>249</v>
      </c>
      <c r="E19" s="55">
        <v>30</v>
      </c>
      <c r="F19" s="306">
        <f>E19*20</f>
        <v>600</v>
      </c>
      <c r="G19" s="55">
        <v>30</v>
      </c>
      <c r="H19" s="306">
        <f>G19*20</f>
        <v>600</v>
      </c>
      <c r="I19" s="55">
        <v>30</v>
      </c>
      <c r="J19" s="306">
        <f>I19*20</f>
        <v>600</v>
      </c>
      <c r="K19" s="253">
        <f>E19+G19+I19</f>
        <v>90</v>
      </c>
      <c r="L19" s="253">
        <f>F19+H19+J19</f>
        <v>1800</v>
      </c>
      <c r="M19" s="38">
        <f>300/20</f>
        <v>15</v>
      </c>
    </row>
    <row r="20" spans="1:12" ht="15">
      <c r="A20" s="56">
        <v>5</v>
      </c>
      <c r="B20" s="252" t="s">
        <v>246</v>
      </c>
      <c r="C20" s="54"/>
      <c r="D20" s="54"/>
      <c r="E20" s="248"/>
      <c r="F20" s="307">
        <f>F22+F21</f>
        <v>2500</v>
      </c>
      <c r="G20" s="307"/>
      <c r="H20" s="307">
        <f>H22+H21</f>
        <v>3400</v>
      </c>
      <c r="I20" s="307"/>
      <c r="J20" s="307">
        <f>J22+J21</f>
        <v>4000</v>
      </c>
      <c r="K20" s="307"/>
      <c r="L20" s="307">
        <f>L22+L21</f>
        <v>9900</v>
      </c>
    </row>
    <row r="21" spans="1:12" ht="75">
      <c r="A21" s="56" t="s">
        <v>29</v>
      </c>
      <c r="B21" s="95" t="s">
        <v>247</v>
      </c>
      <c r="C21" s="54"/>
      <c r="D21" s="54"/>
      <c r="E21" s="248"/>
      <c r="F21" s="309">
        <v>1000</v>
      </c>
      <c r="G21" s="310"/>
      <c r="H21" s="309">
        <v>1000</v>
      </c>
      <c r="I21" s="310"/>
      <c r="J21" s="309">
        <v>1000</v>
      </c>
      <c r="K21" s="248"/>
      <c r="L21" s="253">
        <f>F21+H21+J21</f>
        <v>3000</v>
      </c>
    </row>
    <row r="22" spans="1:12" ht="30">
      <c r="A22" s="56" t="s">
        <v>29</v>
      </c>
      <c r="B22" s="95" t="s">
        <v>222</v>
      </c>
      <c r="C22" s="51" t="s">
        <v>223</v>
      </c>
      <c r="D22" s="83" t="s">
        <v>248</v>
      </c>
      <c r="E22" s="55">
        <v>5</v>
      </c>
      <c r="F22" s="306">
        <f>E22*300</f>
        <v>1500</v>
      </c>
      <c r="G22" s="54">
        <v>8</v>
      </c>
      <c r="H22" s="306">
        <f>G22*300</f>
        <v>2400</v>
      </c>
      <c r="I22" s="54">
        <v>10</v>
      </c>
      <c r="J22" s="306">
        <f>I22*300</f>
        <v>3000</v>
      </c>
      <c r="K22" s="253">
        <f>E22+G22+I22</f>
        <v>23</v>
      </c>
      <c r="L22" s="253">
        <f>F22+H22+J22</f>
        <v>6900</v>
      </c>
    </row>
  </sheetData>
  <sheetProtection/>
  <mergeCells count="10">
    <mergeCell ref="A2:L2"/>
    <mergeCell ref="J3:L3"/>
    <mergeCell ref="A4:A5"/>
    <mergeCell ref="B4:B5"/>
    <mergeCell ref="C4:C5"/>
    <mergeCell ref="D4:D5"/>
    <mergeCell ref="E4:F4"/>
    <mergeCell ref="G4:H4"/>
    <mergeCell ref="I4:J4"/>
    <mergeCell ref="K4:L4"/>
  </mergeCells>
  <printOptions/>
  <pageMargins left="0.33" right="0.2" top="0.42" bottom="0.42"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V31"/>
  <sheetViews>
    <sheetView zoomScalePageLayoutView="0" workbookViewId="0" topLeftCell="A1">
      <selection activeCell="B1" sqref="A1:L2"/>
    </sheetView>
  </sheetViews>
  <sheetFormatPr defaultColWidth="6.625" defaultRowHeight="15.75"/>
  <cols>
    <col min="1" max="1" width="3.375" style="57" bestFit="1" customWidth="1"/>
    <col min="2" max="2" width="44.375" style="58" customWidth="1"/>
    <col min="3" max="3" width="5.875" style="39" customWidth="1"/>
    <col min="4" max="4" width="8.125" style="39" customWidth="1"/>
    <col min="5" max="5" width="9.625" style="59" customWidth="1"/>
    <col min="6" max="6" width="7.625" style="59" customWidth="1"/>
    <col min="7" max="7" width="9.00390625" style="39" customWidth="1"/>
    <col min="8" max="8" width="8.375" style="39" customWidth="1"/>
    <col min="9" max="9" width="9.375" style="39" customWidth="1"/>
    <col min="10" max="10" width="8.625" style="39" customWidth="1"/>
    <col min="11" max="11" width="9.00390625" style="57" customWidth="1"/>
    <col min="12" max="12" width="9.50390625" style="57" customWidth="1"/>
    <col min="13" max="13" width="6.00390625" style="64" customWidth="1"/>
    <col min="14" max="33" width="9.00390625" style="64" customWidth="1"/>
    <col min="34" max="250" width="9.00390625" style="38" customWidth="1"/>
    <col min="251" max="251" width="2.50390625" style="38" customWidth="1"/>
    <col min="252" max="252" width="14.00390625" style="38" customWidth="1"/>
    <col min="253" max="253" width="4.50390625" style="38" customWidth="1"/>
    <col min="254" max="254" width="8.25390625" style="38" customWidth="1"/>
    <col min="255" max="255" width="5.00390625" style="38" customWidth="1"/>
    <col min="256" max="16384" width="6.625" style="38" customWidth="1"/>
  </cols>
  <sheetData>
    <row r="1" spans="1:33" s="62" customFormat="1" ht="15">
      <c r="A1" s="60" t="s">
        <v>53</v>
      </c>
      <c r="B1" s="61"/>
      <c r="C1" s="61"/>
      <c r="D1" s="61"/>
      <c r="E1" s="61"/>
      <c r="M1" s="61"/>
      <c r="N1" s="61"/>
      <c r="O1" s="61"/>
      <c r="P1" s="61"/>
      <c r="Q1" s="61"/>
      <c r="R1" s="61"/>
      <c r="S1" s="61"/>
      <c r="T1" s="61"/>
      <c r="U1" s="61"/>
      <c r="V1" s="61"/>
      <c r="W1" s="61"/>
      <c r="X1" s="61"/>
      <c r="Y1" s="61"/>
      <c r="Z1" s="61"/>
      <c r="AA1" s="61"/>
      <c r="AB1" s="61"/>
      <c r="AC1" s="61"/>
      <c r="AD1" s="61"/>
      <c r="AE1" s="61"/>
      <c r="AF1" s="61"/>
      <c r="AG1" s="61"/>
    </row>
    <row r="2" spans="1:12" ht="33" customHeight="1">
      <c r="A2" s="345" t="s">
        <v>251</v>
      </c>
      <c r="B2" s="345"/>
      <c r="C2" s="345"/>
      <c r="D2" s="345"/>
      <c r="E2" s="345"/>
      <c r="F2" s="345"/>
      <c r="G2" s="345"/>
      <c r="H2" s="345"/>
      <c r="I2" s="345"/>
      <c r="J2" s="345"/>
      <c r="K2" s="345"/>
      <c r="L2" s="345"/>
    </row>
    <row r="3" spans="1:12" ht="15.75" customHeight="1">
      <c r="A3" s="63"/>
      <c r="B3" s="38"/>
      <c r="C3" s="65"/>
      <c r="D3" s="65"/>
      <c r="E3" s="65"/>
      <c r="F3" s="65"/>
      <c r="G3" s="65"/>
      <c r="I3" s="66"/>
      <c r="J3" s="346" t="s">
        <v>1</v>
      </c>
      <c r="K3" s="346"/>
      <c r="L3" s="346"/>
    </row>
    <row r="4" spans="1:12" ht="15">
      <c r="A4" s="347" t="s">
        <v>0</v>
      </c>
      <c r="B4" s="347" t="s">
        <v>2</v>
      </c>
      <c r="C4" s="347" t="s">
        <v>36</v>
      </c>
      <c r="D4" s="347" t="s">
        <v>37</v>
      </c>
      <c r="E4" s="348" t="s">
        <v>3</v>
      </c>
      <c r="F4" s="349"/>
      <c r="G4" s="348" t="s">
        <v>4</v>
      </c>
      <c r="H4" s="349"/>
      <c r="I4" s="348" t="s">
        <v>5</v>
      </c>
      <c r="J4" s="349"/>
      <c r="K4" s="348" t="s">
        <v>8</v>
      </c>
      <c r="L4" s="349"/>
    </row>
    <row r="5" spans="1:15" ht="49.5" customHeight="1">
      <c r="A5" s="347"/>
      <c r="B5" s="347"/>
      <c r="C5" s="347"/>
      <c r="D5" s="347"/>
      <c r="E5" s="42" t="s">
        <v>38</v>
      </c>
      <c r="F5" s="45" t="s">
        <v>39</v>
      </c>
      <c r="G5" s="42" t="s">
        <v>38</v>
      </c>
      <c r="H5" s="45" t="s">
        <v>39</v>
      </c>
      <c r="I5" s="42" t="s">
        <v>38</v>
      </c>
      <c r="J5" s="45" t="s">
        <v>39</v>
      </c>
      <c r="K5" s="40" t="s">
        <v>38</v>
      </c>
      <c r="L5" s="40" t="s">
        <v>40</v>
      </c>
      <c r="N5" s="272" t="s">
        <v>233</v>
      </c>
      <c r="O5" s="68"/>
    </row>
    <row r="6" spans="1:15" ht="37.5" customHeight="1">
      <c r="A6" s="348" t="s">
        <v>54</v>
      </c>
      <c r="B6" s="350"/>
      <c r="C6" s="349"/>
      <c r="D6" s="40"/>
      <c r="E6" s="42"/>
      <c r="F6" s="69">
        <f>F7+F9+F13+F15+F18+F30</f>
        <v>20397.5</v>
      </c>
      <c r="G6" s="69"/>
      <c r="H6" s="69">
        <f>H7+H9+H13+H15+H18+H30</f>
        <v>20987.5</v>
      </c>
      <c r="I6" s="69"/>
      <c r="J6" s="69">
        <f>J7+J9+J13+J15+J18+J30</f>
        <v>20987.5</v>
      </c>
      <c r="K6" s="69"/>
      <c r="L6" s="70">
        <f>F6+H6+J6</f>
        <v>62372.5</v>
      </c>
      <c r="N6" s="273">
        <f>68613-L6</f>
        <v>6240.5</v>
      </c>
      <c r="O6" s="68"/>
    </row>
    <row r="7" spans="1:15" ht="15">
      <c r="A7" s="40">
        <v>1</v>
      </c>
      <c r="B7" s="41" t="s">
        <v>55</v>
      </c>
      <c r="C7" s="67"/>
      <c r="D7" s="40"/>
      <c r="E7" s="42"/>
      <c r="F7" s="71">
        <f>F8</f>
        <v>2519</v>
      </c>
      <c r="G7" s="71"/>
      <c r="H7" s="71">
        <f>H8</f>
        <v>2519</v>
      </c>
      <c r="I7" s="71"/>
      <c r="J7" s="71">
        <f>J8</f>
        <v>2519</v>
      </c>
      <c r="K7" s="71"/>
      <c r="L7" s="70">
        <f>L8</f>
        <v>7557</v>
      </c>
      <c r="O7" s="68"/>
    </row>
    <row r="8" spans="1:34" s="44" customFormat="1" ht="135">
      <c r="A8" s="46"/>
      <c r="B8" s="72" t="s">
        <v>56</v>
      </c>
      <c r="C8" s="51" t="s">
        <v>57</v>
      </c>
      <c r="D8" s="73">
        <f>1259390/1000000</f>
        <v>1.25939</v>
      </c>
      <c r="E8" s="73">
        <v>2000</v>
      </c>
      <c r="F8" s="73">
        <v>2519</v>
      </c>
      <c r="G8" s="73">
        <v>2000</v>
      </c>
      <c r="H8" s="73">
        <v>2519</v>
      </c>
      <c r="I8" s="73">
        <v>2000</v>
      </c>
      <c r="J8" s="73">
        <v>2519</v>
      </c>
      <c r="K8" s="73">
        <f>E8+G8+I8</f>
        <v>6000</v>
      </c>
      <c r="L8" s="74">
        <f>J8+H8+F8</f>
        <v>7557</v>
      </c>
      <c r="M8" s="64"/>
      <c r="N8" s="64"/>
      <c r="O8" s="64"/>
      <c r="P8" s="64"/>
      <c r="Q8" s="64"/>
      <c r="R8" s="64"/>
      <c r="S8" s="64"/>
      <c r="T8" s="64"/>
      <c r="U8" s="64"/>
      <c r="V8" s="64"/>
      <c r="W8" s="64"/>
      <c r="X8" s="64"/>
      <c r="Y8" s="64"/>
      <c r="Z8" s="64"/>
      <c r="AA8" s="64"/>
      <c r="AB8" s="64"/>
      <c r="AC8" s="64"/>
      <c r="AD8" s="64"/>
      <c r="AE8" s="64"/>
      <c r="AF8" s="64"/>
      <c r="AG8" s="64"/>
      <c r="AH8" s="75"/>
    </row>
    <row r="9" spans="1:34" s="81" customFormat="1" ht="14.25">
      <c r="A9" s="46">
        <v>2</v>
      </c>
      <c r="B9" s="76" t="s">
        <v>58</v>
      </c>
      <c r="C9" s="46"/>
      <c r="D9" s="77"/>
      <c r="E9" s="77"/>
      <c r="F9" s="78">
        <f>F10+F11+F12</f>
        <v>2540</v>
      </c>
      <c r="G9" s="78"/>
      <c r="H9" s="78">
        <f>H10+H11+H12</f>
        <v>2300</v>
      </c>
      <c r="I9" s="78"/>
      <c r="J9" s="78">
        <f>J10+J11+J12</f>
        <v>2300</v>
      </c>
      <c r="K9" s="78"/>
      <c r="L9" s="78">
        <f>F9+H9+J9</f>
        <v>7140</v>
      </c>
      <c r="M9" s="79"/>
      <c r="N9" s="79"/>
      <c r="O9" s="79"/>
      <c r="P9" s="79"/>
      <c r="Q9" s="79"/>
      <c r="R9" s="79"/>
      <c r="S9" s="79"/>
      <c r="T9" s="79"/>
      <c r="U9" s="79"/>
      <c r="V9" s="79"/>
      <c r="W9" s="79"/>
      <c r="X9" s="79"/>
      <c r="Y9" s="79"/>
      <c r="Z9" s="79"/>
      <c r="AA9" s="79"/>
      <c r="AB9" s="79"/>
      <c r="AC9" s="79"/>
      <c r="AD9" s="79"/>
      <c r="AE9" s="79"/>
      <c r="AF9" s="79"/>
      <c r="AG9" s="79"/>
      <c r="AH9" s="80"/>
    </row>
    <row r="10" spans="1:34" s="44" customFormat="1" ht="60">
      <c r="A10" s="46"/>
      <c r="B10" s="82" t="s">
        <v>59</v>
      </c>
      <c r="C10" s="83" t="s">
        <v>60</v>
      </c>
      <c r="D10" s="73" t="s">
        <v>61</v>
      </c>
      <c r="E10" s="84">
        <v>22000</v>
      </c>
      <c r="F10" s="84">
        <v>1980</v>
      </c>
      <c r="G10" s="84">
        <v>23000</v>
      </c>
      <c r="H10" s="84">
        <v>2070</v>
      </c>
      <c r="I10" s="84">
        <v>23000</v>
      </c>
      <c r="J10" s="84">
        <v>2070</v>
      </c>
      <c r="K10" s="84">
        <f>E10+G10+I10</f>
        <v>68000</v>
      </c>
      <c r="L10" s="74">
        <f>J10+H10+F10</f>
        <v>6120</v>
      </c>
      <c r="M10" s="64"/>
      <c r="N10" s="64"/>
      <c r="O10" s="64"/>
      <c r="P10" s="64"/>
      <c r="Q10" s="64"/>
      <c r="R10" s="64"/>
      <c r="S10" s="64"/>
      <c r="T10" s="64"/>
      <c r="U10" s="64"/>
      <c r="V10" s="64"/>
      <c r="W10" s="64"/>
      <c r="X10" s="64"/>
      <c r="Y10" s="64"/>
      <c r="Z10" s="64"/>
      <c r="AA10" s="64"/>
      <c r="AB10" s="64"/>
      <c r="AC10" s="64"/>
      <c r="AD10" s="64"/>
      <c r="AE10" s="64"/>
      <c r="AF10" s="64"/>
      <c r="AG10" s="64"/>
      <c r="AH10" s="75"/>
    </row>
    <row r="11" spans="1:34" s="44" customFormat="1" ht="105">
      <c r="A11" s="85"/>
      <c r="B11" s="72" t="s">
        <v>62</v>
      </c>
      <c r="C11" s="51" t="s">
        <v>63</v>
      </c>
      <c r="D11" s="73">
        <v>0.01</v>
      </c>
      <c r="E11" s="84">
        <v>22000</v>
      </c>
      <c r="F11" s="73">
        <f>E11*D11</f>
        <v>220</v>
      </c>
      <c r="G11" s="84">
        <v>23000</v>
      </c>
      <c r="H11" s="73">
        <f>G11*D11</f>
        <v>230</v>
      </c>
      <c r="I11" s="84">
        <v>23000</v>
      </c>
      <c r="J11" s="73">
        <f>I11*D11</f>
        <v>230</v>
      </c>
      <c r="K11" s="84">
        <f>I11+G11+E11</f>
        <v>68000</v>
      </c>
      <c r="L11" s="74">
        <f>K11*D11</f>
        <v>680</v>
      </c>
      <c r="M11" s="64"/>
      <c r="N11" s="64"/>
      <c r="O11" s="64"/>
      <c r="P11" s="64"/>
      <c r="Q11" s="64"/>
      <c r="R11" s="64"/>
      <c r="S11" s="64"/>
      <c r="T11" s="64"/>
      <c r="U11" s="64"/>
      <c r="V11" s="64"/>
      <c r="W11" s="64"/>
      <c r="X11" s="64"/>
      <c r="Y11" s="64"/>
      <c r="Z11" s="64"/>
      <c r="AA11" s="64"/>
      <c r="AB11" s="64"/>
      <c r="AC11" s="64"/>
      <c r="AD11" s="64"/>
      <c r="AE11" s="64"/>
      <c r="AF11" s="64"/>
      <c r="AG11" s="64"/>
      <c r="AH11" s="75"/>
    </row>
    <row r="12" spans="1:34" s="44" customFormat="1" ht="70.5" customHeight="1">
      <c r="A12" s="85"/>
      <c r="B12" s="72" t="s">
        <v>64</v>
      </c>
      <c r="C12" s="51" t="s">
        <v>65</v>
      </c>
      <c r="D12" s="73">
        <v>17</v>
      </c>
      <c r="E12" s="73">
        <v>20</v>
      </c>
      <c r="F12" s="73">
        <f>D12*E12</f>
        <v>340</v>
      </c>
      <c r="G12" s="73"/>
      <c r="H12" s="73"/>
      <c r="I12" s="73"/>
      <c r="J12" s="73"/>
      <c r="K12" s="73">
        <v>20</v>
      </c>
      <c r="L12" s="74">
        <f>J12+H12+F12</f>
        <v>340</v>
      </c>
      <c r="M12" s="64"/>
      <c r="N12" s="64"/>
      <c r="O12" s="64"/>
      <c r="P12" s="64"/>
      <c r="Q12" s="64"/>
      <c r="R12" s="64"/>
      <c r="S12" s="64"/>
      <c r="T12" s="64"/>
      <c r="U12" s="64"/>
      <c r="V12" s="64"/>
      <c r="W12" s="64"/>
      <c r="X12" s="64"/>
      <c r="Y12" s="64"/>
      <c r="Z12" s="64"/>
      <c r="AA12" s="64"/>
      <c r="AB12" s="64"/>
      <c r="AC12" s="64"/>
      <c r="AD12" s="64"/>
      <c r="AE12" s="64"/>
      <c r="AF12" s="64"/>
      <c r="AG12" s="64"/>
      <c r="AH12" s="75"/>
    </row>
    <row r="13" spans="1:34" s="81" customFormat="1" ht="14.25">
      <c r="A13" s="46">
        <v>3</v>
      </c>
      <c r="B13" s="86" t="s">
        <v>66</v>
      </c>
      <c r="C13" s="46"/>
      <c r="D13" s="77"/>
      <c r="E13" s="77"/>
      <c r="F13" s="77">
        <f>F14</f>
        <v>240</v>
      </c>
      <c r="G13" s="77"/>
      <c r="H13" s="77">
        <f>H14</f>
        <v>240</v>
      </c>
      <c r="I13" s="77"/>
      <c r="J13" s="77">
        <f>J14</f>
        <v>240</v>
      </c>
      <c r="K13" s="77"/>
      <c r="L13" s="87">
        <f>F13+H13+J13</f>
        <v>720</v>
      </c>
      <c r="M13" s="79"/>
      <c r="N13" s="79"/>
      <c r="O13" s="79"/>
      <c r="P13" s="79"/>
      <c r="Q13" s="79"/>
      <c r="R13" s="79"/>
      <c r="S13" s="79"/>
      <c r="T13" s="79"/>
      <c r="U13" s="79"/>
      <c r="V13" s="79"/>
      <c r="W13" s="79"/>
      <c r="X13" s="79"/>
      <c r="Y13" s="79"/>
      <c r="Z13" s="79"/>
      <c r="AA13" s="79"/>
      <c r="AB13" s="79"/>
      <c r="AC13" s="79"/>
      <c r="AD13" s="79"/>
      <c r="AE13" s="79"/>
      <c r="AF13" s="79"/>
      <c r="AG13" s="79"/>
      <c r="AH13" s="80"/>
    </row>
    <row r="14" spans="1:34" s="277" customFormat="1" ht="80.25" customHeight="1">
      <c r="A14" s="274"/>
      <c r="B14" s="72" t="s">
        <v>67</v>
      </c>
      <c r="C14" s="51" t="s">
        <v>68</v>
      </c>
      <c r="D14" s="73">
        <v>240</v>
      </c>
      <c r="E14" s="73">
        <v>1</v>
      </c>
      <c r="F14" s="73">
        <f>D14*E14</f>
        <v>240</v>
      </c>
      <c r="G14" s="73">
        <v>1</v>
      </c>
      <c r="H14" s="73">
        <f>D14*G14</f>
        <v>240</v>
      </c>
      <c r="I14" s="73">
        <v>1</v>
      </c>
      <c r="J14" s="73">
        <f>D14*I14</f>
        <v>240</v>
      </c>
      <c r="K14" s="73">
        <f>E14+G14+I14</f>
        <v>3</v>
      </c>
      <c r="L14" s="74">
        <f>J14+H14+F14</f>
        <v>720</v>
      </c>
      <c r="M14" s="275"/>
      <c r="N14" s="275"/>
      <c r="O14" s="275"/>
      <c r="P14" s="275"/>
      <c r="Q14" s="275"/>
      <c r="R14" s="275"/>
      <c r="S14" s="275"/>
      <c r="T14" s="275"/>
      <c r="U14" s="275"/>
      <c r="V14" s="275"/>
      <c r="W14" s="275"/>
      <c r="X14" s="275"/>
      <c r="Y14" s="275"/>
      <c r="Z14" s="275"/>
      <c r="AA14" s="275"/>
      <c r="AB14" s="275"/>
      <c r="AC14" s="275"/>
      <c r="AD14" s="275"/>
      <c r="AE14" s="275"/>
      <c r="AF14" s="275"/>
      <c r="AG14" s="275"/>
      <c r="AH14" s="276"/>
    </row>
    <row r="15" spans="1:34" s="81" customFormat="1" ht="85.5">
      <c r="A15" s="46">
        <v>4</v>
      </c>
      <c r="B15" s="76" t="s">
        <v>69</v>
      </c>
      <c r="C15" s="46"/>
      <c r="D15" s="77"/>
      <c r="E15" s="77"/>
      <c r="F15" s="77">
        <f>F16+F17</f>
        <v>570</v>
      </c>
      <c r="G15" s="77"/>
      <c r="H15" s="77">
        <f>H16+H17</f>
        <v>650</v>
      </c>
      <c r="I15" s="77"/>
      <c r="J15" s="77">
        <f>J16+J17</f>
        <v>650</v>
      </c>
      <c r="K15" s="77"/>
      <c r="L15" s="87">
        <f>F15+H15+J15</f>
        <v>1870</v>
      </c>
      <c r="M15" s="79"/>
      <c r="N15" s="79"/>
      <c r="O15" s="79"/>
      <c r="P15" s="79"/>
      <c r="Q15" s="79"/>
      <c r="R15" s="79"/>
      <c r="S15" s="79"/>
      <c r="T15" s="79"/>
      <c r="U15" s="79"/>
      <c r="V15" s="79"/>
      <c r="W15" s="79"/>
      <c r="X15" s="79"/>
      <c r="Y15" s="79"/>
      <c r="Z15" s="79"/>
      <c r="AA15" s="79"/>
      <c r="AB15" s="79"/>
      <c r="AC15" s="79"/>
      <c r="AD15" s="79"/>
      <c r="AE15" s="79"/>
      <c r="AF15" s="79"/>
      <c r="AG15" s="79"/>
      <c r="AH15" s="80"/>
    </row>
    <row r="16" spans="1:34" s="44" customFormat="1" ht="45">
      <c r="A16" s="46"/>
      <c r="B16" s="278" t="s">
        <v>70</v>
      </c>
      <c r="C16" s="51" t="s">
        <v>68</v>
      </c>
      <c r="D16" s="73">
        <v>40</v>
      </c>
      <c r="E16" s="73">
        <v>8</v>
      </c>
      <c r="F16" s="73">
        <f>E16*D16</f>
        <v>320</v>
      </c>
      <c r="G16" s="73">
        <v>10</v>
      </c>
      <c r="H16" s="73">
        <f>D16*G16</f>
        <v>400</v>
      </c>
      <c r="I16" s="73">
        <v>10</v>
      </c>
      <c r="J16" s="73">
        <f>D16*I16</f>
        <v>400</v>
      </c>
      <c r="K16" s="73">
        <f>E16+G16+I16</f>
        <v>28</v>
      </c>
      <c r="L16" s="279">
        <f>J16+H16+F16</f>
        <v>1120</v>
      </c>
      <c r="M16" s="64"/>
      <c r="N16" s="64"/>
      <c r="O16" s="64"/>
      <c r="P16" s="64"/>
      <c r="Q16" s="64"/>
      <c r="R16" s="64"/>
      <c r="S16" s="64"/>
      <c r="T16" s="64"/>
      <c r="U16" s="64"/>
      <c r="V16" s="64"/>
      <c r="W16" s="64"/>
      <c r="X16" s="64"/>
      <c r="Y16" s="64"/>
      <c r="Z16" s="64"/>
      <c r="AA16" s="64"/>
      <c r="AB16" s="64"/>
      <c r="AC16" s="64"/>
      <c r="AD16" s="64"/>
      <c r="AE16" s="64"/>
      <c r="AF16" s="64"/>
      <c r="AG16" s="64"/>
      <c r="AH16" s="75"/>
    </row>
    <row r="17" spans="1:256" ht="60">
      <c r="A17" s="46"/>
      <c r="B17" s="88" t="s">
        <v>71</v>
      </c>
      <c r="C17" s="51" t="s">
        <v>72</v>
      </c>
      <c r="D17" s="73">
        <v>50</v>
      </c>
      <c r="E17" s="89">
        <v>5</v>
      </c>
      <c r="F17" s="73">
        <f>E17*D17</f>
        <v>250</v>
      </c>
      <c r="G17" s="89">
        <v>5</v>
      </c>
      <c r="H17" s="73">
        <f>D17*G17</f>
        <v>250</v>
      </c>
      <c r="I17" s="89">
        <v>5</v>
      </c>
      <c r="J17" s="73">
        <f>D17*I17</f>
        <v>250</v>
      </c>
      <c r="K17" s="89">
        <v>15</v>
      </c>
      <c r="L17" s="279">
        <f>J17+H17+F17</f>
        <v>750</v>
      </c>
      <c r="M17" s="90"/>
      <c r="N17" s="90"/>
      <c r="O17" s="90"/>
      <c r="P17" s="90"/>
      <c r="Q17" s="90"/>
      <c r="R17" s="90"/>
      <c r="S17" s="90"/>
      <c r="T17" s="90"/>
      <c r="U17" s="90"/>
      <c r="V17" s="90"/>
      <c r="W17" s="90"/>
      <c r="X17" s="90"/>
      <c r="Y17" s="90"/>
      <c r="Z17" s="90"/>
      <c r="AA17" s="90"/>
      <c r="AB17" s="90"/>
      <c r="AC17" s="90"/>
      <c r="AD17" s="90"/>
      <c r="AE17" s="90"/>
      <c r="AF17" s="90"/>
      <c r="AG17" s="90"/>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row>
    <row r="18" spans="1:12" s="79" customFormat="1" ht="14.25">
      <c r="A18" s="46">
        <v>5</v>
      </c>
      <c r="B18" s="41" t="s">
        <v>73</v>
      </c>
      <c r="C18" s="46"/>
      <c r="D18" s="46"/>
      <c r="E18" s="46"/>
      <c r="F18" s="93">
        <f>F19+F25</f>
        <v>12028.5</v>
      </c>
      <c r="G18" s="93"/>
      <c r="H18" s="93">
        <f>H19+H25</f>
        <v>12028.5</v>
      </c>
      <c r="I18" s="93"/>
      <c r="J18" s="93">
        <f>J19+J25</f>
        <v>12028.5</v>
      </c>
      <c r="K18" s="46"/>
      <c r="L18" s="93">
        <f>F18+H18+J18</f>
        <v>36085.5</v>
      </c>
    </row>
    <row r="19" spans="1:12" s="284" customFormat="1" ht="114">
      <c r="A19" s="280" t="s">
        <v>74</v>
      </c>
      <c r="B19" s="281" t="s">
        <v>75</v>
      </c>
      <c r="C19" s="274" t="s">
        <v>76</v>
      </c>
      <c r="D19" s="274"/>
      <c r="E19" s="274"/>
      <c r="F19" s="282">
        <f>F20+F21+F22+F23+F24</f>
        <v>10031</v>
      </c>
      <c r="G19" s="282"/>
      <c r="H19" s="282">
        <f>H20+H21+H22+H23+H24</f>
        <v>10031</v>
      </c>
      <c r="I19" s="282"/>
      <c r="J19" s="282">
        <f>J20+J21+J22+J23+J24</f>
        <v>10031</v>
      </c>
      <c r="K19" s="282"/>
      <c r="L19" s="283">
        <f>L20+L21+L22+L23+L24</f>
        <v>30093</v>
      </c>
    </row>
    <row r="20" spans="1:12" s="284" customFormat="1" ht="15">
      <c r="A20" s="285" t="s">
        <v>77</v>
      </c>
      <c r="B20" s="286" t="s">
        <v>78</v>
      </c>
      <c r="C20" s="287" t="s">
        <v>76</v>
      </c>
      <c r="D20" s="288"/>
      <c r="E20" s="289">
        <v>175000</v>
      </c>
      <c r="F20" s="289">
        <v>2450</v>
      </c>
      <c r="G20" s="289">
        <v>175000</v>
      </c>
      <c r="H20" s="289">
        <v>2450</v>
      </c>
      <c r="I20" s="289">
        <v>175000</v>
      </c>
      <c r="J20" s="289">
        <v>2450</v>
      </c>
      <c r="K20" s="289">
        <f>E20+G20+I20</f>
        <v>525000</v>
      </c>
      <c r="L20" s="289">
        <f>F20+H20+J20</f>
        <v>7350</v>
      </c>
    </row>
    <row r="21" spans="1:256" ht="15">
      <c r="A21" s="94" t="s">
        <v>77</v>
      </c>
      <c r="B21" s="95" t="s">
        <v>79</v>
      </c>
      <c r="C21" s="51" t="s">
        <v>76</v>
      </c>
      <c r="D21" s="83"/>
      <c r="E21" s="89">
        <v>400000</v>
      </c>
      <c r="F21" s="89">
        <f>E21*6090/1000000</f>
        <v>2436</v>
      </c>
      <c r="G21" s="89">
        <v>400000</v>
      </c>
      <c r="H21" s="89">
        <f>G21*6090/1000000</f>
        <v>2436</v>
      </c>
      <c r="I21" s="89">
        <v>400000</v>
      </c>
      <c r="J21" s="89">
        <f>I21*6090/1000000</f>
        <v>2436</v>
      </c>
      <c r="K21" s="89">
        <f aca="true" t="shared" si="0" ref="K21:L24">E21+G21+I21</f>
        <v>1200000</v>
      </c>
      <c r="L21" s="89">
        <f t="shared" si="0"/>
        <v>7308</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c r="IT21" s="91"/>
      <c r="IU21" s="91"/>
      <c r="IV21" s="91"/>
    </row>
    <row r="22" spans="1:256" ht="15">
      <c r="A22" s="94" t="s">
        <v>77</v>
      </c>
      <c r="B22" s="95" t="s">
        <v>80</v>
      </c>
      <c r="C22" s="83" t="s">
        <v>76</v>
      </c>
      <c r="D22" s="52"/>
      <c r="E22" s="89">
        <v>400000</v>
      </c>
      <c r="F22" s="89">
        <f>E22*4200/1000000</f>
        <v>1680</v>
      </c>
      <c r="G22" s="89">
        <v>400000</v>
      </c>
      <c r="H22" s="89">
        <f>G22*4200/1000000</f>
        <v>1680</v>
      </c>
      <c r="I22" s="89">
        <v>400000</v>
      </c>
      <c r="J22" s="89">
        <f>I22*4200/1000000</f>
        <v>1680</v>
      </c>
      <c r="K22" s="89">
        <f t="shared" si="0"/>
        <v>1200000</v>
      </c>
      <c r="L22" s="89">
        <f t="shared" si="0"/>
        <v>5040</v>
      </c>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c r="IU22" s="91"/>
      <c r="IV22" s="91"/>
    </row>
    <row r="23" spans="1:256" ht="15">
      <c r="A23" s="94" t="s">
        <v>77</v>
      </c>
      <c r="B23" s="95" t="s">
        <v>81</v>
      </c>
      <c r="C23" s="83" t="s">
        <v>76</v>
      </c>
      <c r="D23" s="52"/>
      <c r="E23" s="89">
        <v>400000</v>
      </c>
      <c r="F23" s="89">
        <f>E23*4200/1000000</f>
        <v>1680</v>
      </c>
      <c r="G23" s="89">
        <v>400000</v>
      </c>
      <c r="H23" s="89">
        <f>G23*4200/1000000</f>
        <v>1680</v>
      </c>
      <c r="I23" s="89">
        <v>400000</v>
      </c>
      <c r="J23" s="89">
        <f>I23*4200/1000000</f>
        <v>1680</v>
      </c>
      <c r="K23" s="89">
        <f t="shared" si="0"/>
        <v>1200000</v>
      </c>
      <c r="L23" s="89">
        <f t="shared" si="0"/>
        <v>5040</v>
      </c>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c r="IT23" s="91"/>
      <c r="IU23" s="91"/>
      <c r="IV23" s="91"/>
    </row>
    <row r="24" spans="1:256" ht="15">
      <c r="A24" s="94" t="s">
        <v>77</v>
      </c>
      <c r="B24" s="96" t="s">
        <v>82</v>
      </c>
      <c r="C24" s="52" t="s">
        <v>76</v>
      </c>
      <c r="D24" s="52"/>
      <c r="E24" s="89">
        <v>5000000</v>
      </c>
      <c r="F24" s="89">
        <f>E24*357/1000000</f>
        <v>1785</v>
      </c>
      <c r="G24" s="89">
        <v>5000000</v>
      </c>
      <c r="H24" s="89">
        <f>G24*357/1000000</f>
        <v>1785</v>
      </c>
      <c r="I24" s="89">
        <v>5000000</v>
      </c>
      <c r="J24" s="89">
        <f>I24*357/1000000</f>
        <v>1785</v>
      </c>
      <c r="K24" s="89">
        <f t="shared" si="0"/>
        <v>15000000</v>
      </c>
      <c r="L24" s="89">
        <f t="shared" si="0"/>
        <v>5355</v>
      </c>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c r="IT24" s="91"/>
      <c r="IU24" s="91"/>
      <c r="IV24" s="91"/>
    </row>
    <row r="25" spans="1:12" s="79" customFormat="1" ht="85.5">
      <c r="A25" s="97" t="s">
        <v>83</v>
      </c>
      <c r="B25" s="41" t="s">
        <v>84</v>
      </c>
      <c r="C25" s="46" t="s">
        <v>76</v>
      </c>
      <c r="D25" s="56"/>
      <c r="E25" s="98"/>
      <c r="F25" s="48">
        <f>F26+F27+F28+F29</f>
        <v>1997.5</v>
      </c>
      <c r="G25" s="48"/>
      <c r="H25" s="48">
        <f>H26+H27+H28+H29</f>
        <v>1997.5</v>
      </c>
      <c r="I25" s="48"/>
      <c r="J25" s="48">
        <f>J26+J27+J28+J29</f>
        <v>1997.5</v>
      </c>
      <c r="K25" s="56"/>
      <c r="L25" s="93">
        <f>F25+H25+J25</f>
        <v>5992.5</v>
      </c>
    </row>
    <row r="26" spans="1:256" ht="15">
      <c r="A26" s="99" t="s">
        <v>77</v>
      </c>
      <c r="B26" s="100" t="s">
        <v>85</v>
      </c>
      <c r="C26" s="101" t="s">
        <v>76</v>
      </c>
      <c r="D26" s="102"/>
      <c r="E26" s="103">
        <v>5000</v>
      </c>
      <c r="F26" s="103">
        <v>145</v>
      </c>
      <c r="G26" s="103">
        <v>5000</v>
      </c>
      <c r="H26" s="103">
        <v>145</v>
      </c>
      <c r="I26" s="103">
        <v>5000</v>
      </c>
      <c r="J26" s="103">
        <v>145</v>
      </c>
      <c r="K26" s="103">
        <f>E26+G26+I26</f>
        <v>15000</v>
      </c>
      <c r="L26" s="103">
        <f>F26+H26+J26</f>
        <v>435</v>
      </c>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c r="IT26" s="91"/>
      <c r="IU26" s="91"/>
      <c r="IV26" s="91"/>
    </row>
    <row r="27" spans="1:256" ht="15">
      <c r="A27" s="99" t="s">
        <v>77</v>
      </c>
      <c r="B27" s="100" t="s">
        <v>86</v>
      </c>
      <c r="C27" s="100" t="s">
        <v>76</v>
      </c>
      <c r="D27" s="104"/>
      <c r="E27" s="105">
        <v>5000</v>
      </c>
      <c r="F27" s="105">
        <v>182.5</v>
      </c>
      <c r="G27" s="105">
        <v>5000</v>
      </c>
      <c r="H27" s="105">
        <v>182.5</v>
      </c>
      <c r="I27" s="105">
        <v>5000</v>
      </c>
      <c r="J27" s="105">
        <v>182.5</v>
      </c>
      <c r="K27" s="105">
        <v>15000</v>
      </c>
      <c r="L27" s="105">
        <f>F27*3</f>
        <v>547.5</v>
      </c>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c r="IU27" s="91"/>
      <c r="IV27" s="91"/>
    </row>
    <row r="28" spans="1:256" ht="15">
      <c r="A28" s="99" t="s">
        <v>77</v>
      </c>
      <c r="B28" s="106" t="s">
        <v>87</v>
      </c>
      <c r="C28" s="106" t="s">
        <v>76</v>
      </c>
      <c r="D28" s="104"/>
      <c r="E28" s="105">
        <v>50000</v>
      </c>
      <c r="F28" s="105">
        <v>20</v>
      </c>
      <c r="G28" s="105">
        <v>50000</v>
      </c>
      <c r="H28" s="105">
        <v>20</v>
      </c>
      <c r="I28" s="105">
        <v>50000</v>
      </c>
      <c r="J28" s="105">
        <v>20</v>
      </c>
      <c r="K28" s="105">
        <v>150000</v>
      </c>
      <c r="L28" s="105">
        <f>F28*3</f>
        <v>60</v>
      </c>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c r="IU28" s="91"/>
      <c r="IV28" s="91"/>
    </row>
    <row r="29" spans="1:256" ht="15">
      <c r="A29" s="99" t="s">
        <v>77</v>
      </c>
      <c r="B29" s="100" t="s">
        <v>88</v>
      </c>
      <c r="C29" s="107" t="s">
        <v>89</v>
      </c>
      <c r="D29" s="108"/>
      <c r="E29" s="105">
        <v>11000</v>
      </c>
      <c r="F29" s="105">
        <v>1650</v>
      </c>
      <c r="G29" s="105">
        <v>11000</v>
      </c>
      <c r="H29" s="105">
        <v>1650</v>
      </c>
      <c r="I29" s="105">
        <v>11000</v>
      </c>
      <c r="J29" s="105">
        <v>1650</v>
      </c>
      <c r="K29" s="105">
        <f>E29+G29+I29</f>
        <v>33000</v>
      </c>
      <c r="L29" s="105">
        <f>F29+H29+J29</f>
        <v>4950</v>
      </c>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c r="IT29" s="91"/>
      <c r="IU29" s="91"/>
      <c r="IV29" s="91"/>
    </row>
    <row r="30" spans="1:14" s="290" customFormat="1" ht="46.5" customHeight="1">
      <c r="A30" s="40">
        <v>6</v>
      </c>
      <c r="B30" s="109" t="s">
        <v>90</v>
      </c>
      <c r="C30" s="40"/>
      <c r="D30" s="109"/>
      <c r="E30" s="92"/>
      <c r="F30" s="110">
        <f>F31</f>
        <v>2500</v>
      </c>
      <c r="G30" s="110"/>
      <c r="H30" s="110">
        <f>H31</f>
        <v>3250</v>
      </c>
      <c r="I30" s="110"/>
      <c r="J30" s="110">
        <f>J31</f>
        <v>3250</v>
      </c>
      <c r="K30" s="77"/>
      <c r="L30" s="87">
        <f>F30+H30+J30</f>
        <v>9000</v>
      </c>
      <c r="N30" s="291"/>
    </row>
    <row r="31" spans="1:12" s="292" customFormat="1" ht="75">
      <c r="A31" s="83" t="s">
        <v>74</v>
      </c>
      <c r="B31" s="95" t="s">
        <v>91</v>
      </c>
      <c r="C31" s="83" t="s">
        <v>92</v>
      </c>
      <c r="D31" s="83">
        <v>250</v>
      </c>
      <c r="E31" s="111">
        <v>10</v>
      </c>
      <c r="F31" s="74">
        <f>D31*E31</f>
        <v>2500</v>
      </c>
      <c r="G31" s="74">
        <v>13</v>
      </c>
      <c r="H31" s="74">
        <f>D31*G31</f>
        <v>3250</v>
      </c>
      <c r="I31" s="74">
        <v>13</v>
      </c>
      <c r="J31" s="74">
        <f>D31*I31</f>
        <v>3250</v>
      </c>
      <c r="K31" s="74">
        <v>36</v>
      </c>
      <c r="L31" s="74">
        <f>F31+H31+J31</f>
        <v>9000</v>
      </c>
    </row>
  </sheetData>
  <sheetProtection/>
  <mergeCells count="11">
    <mergeCell ref="A6:C6"/>
    <mergeCell ref="A2:L2"/>
    <mergeCell ref="J3:L3"/>
    <mergeCell ref="A4:A5"/>
    <mergeCell ref="B4:B5"/>
    <mergeCell ref="C4:C5"/>
    <mergeCell ref="D4:D5"/>
    <mergeCell ref="E4:F4"/>
    <mergeCell ref="G4:H4"/>
    <mergeCell ref="I4:J4"/>
    <mergeCell ref="K4:L4"/>
  </mergeCells>
  <printOptions/>
  <pageMargins left="0.35" right="0.2" top="0.3" bottom="0.29" header="0.3" footer="0.3"/>
  <pageSetup horizontalDpi="600" verticalDpi="600" orientation="landscape" paperSize="9" r:id="rId1"/>
  <headerFooter>
    <oddFooter>&amp;CPage &amp;P</oddFooter>
  </headerFooter>
</worksheet>
</file>

<file path=xl/worksheets/sheet4.xml><?xml version="1.0" encoding="utf-8"?>
<worksheet xmlns="http://schemas.openxmlformats.org/spreadsheetml/2006/main" xmlns:r="http://schemas.openxmlformats.org/officeDocument/2006/relationships">
  <dimension ref="A1:L17"/>
  <sheetViews>
    <sheetView zoomScalePageLayoutView="0" workbookViewId="0" topLeftCell="A1">
      <selection activeCell="F12" sqref="F12"/>
    </sheetView>
  </sheetViews>
  <sheetFormatPr defaultColWidth="9.00390625" defaultRowHeight="15.75"/>
  <cols>
    <col min="1" max="1" width="4.375" style="199" customWidth="1"/>
    <col min="2" max="2" width="32.25390625" style="201" customWidth="1"/>
    <col min="3" max="3" width="9.375" style="199" customWidth="1"/>
    <col min="4" max="4" width="11.50390625" style="199" customWidth="1"/>
    <col min="5" max="5" width="7.25390625" style="199" customWidth="1"/>
    <col min="6" max="6" width="9.375" style="199" customWidth="1"/>
    <col min="7" max="7" width="6.25390625" style="199" customWidth="1"/>
    <col min="8" max="8" width="7.625" style="199" customWidth="1"/>
    <col min="9" max="10" width="9.00390625" style="199" customWidth="1"/>
    <col min="11" max="11" width="6.875" style="198" customWidth="1"/>
    <col min="12" max="12" width="10.75390625" style="200" customWidth="1"/>
    <col min="13" max="16384" width="9.00390625" style="201" customWidth="1"/>
  </cols>
  <sheetData>
    <row r="1" spans="1:12" ht="40.5" customHeight="1">
      <c r="A1" s="345" t="s">
        <v>252</v>
      </c>
      <c r="B1" s="345"/>
      <c r="C1" s="345"/>
      <c r="D1" s="345"/>
      <c r="E1" s="345"/>
      <c r="F1" s="345"/>
      <c r="G1" s="345"/>
      <c r="H1" s="345"/>
      <c r="I1" s="345"/>
      <c r="J1" s="345"/>
      <c r="K1" s="345"/>
      <c r="L1" s="345"/>
    </row>
    <row r="2" spans="5:12" ht="18.75" customHeight="1">
      <c r="E2" s="351"/>
      <c r="F2" s="351"/>
      <c r="G2" s="351"/>
      <c r="H2" s="351"/>
      <c r="I2" s="351" t="s">
        <v>94</v>
      </c>
      <c r="J2" s="351"/>
      <c r="K2" s="351"/>
      <c r="L2" s="351"/>
    </row>
    <row r="3" spans="1:12" s="199" customFormat="1" ht="44.25" customHeight="1">
      <c r="A3" s="355" t="s">
        <v>0</v>
      </c>
      <c r="B3" s="352" t="s">
        <v>95</v>
      </c>
      <c r="C3" s="352" t="s">
        <v>96</v>
      </c>
      <c r="D3" s="352" t="s">
        <v>149</v>
      </c>
      <c r="E3" s="352" t="s">
        <v>100</v>
      </c>
      <c r="F3" s="352"/>
      <c r="G3" s="352" t="s">
        <v>101</v>
      </c>
      <c r="H3" s="352"/>
      <c r="I3" s="352" t="s">
        <v>102</v>
      </c>
      <c r="J3" s="352"/>
      <c r="K3" s="353" t="s">
        <v>150</v>
      </c>
      <c r="L3" s="354"/>
    </row>
    <row r="4" spans="1:12" ht="59.25" customHeight="1">
      <c r="A4" s="355"/>
      <c r="B4" s="352"/>
      <c r="C4" s="352"/>
      <c r="D4" s="352"/>
      <c r="E4" s="151" t="s">
        <v>38</v>
      </c>
      <c r="F4" s="152" t="s">
        <v>39</v>
      </c>
      <c r="G4" s="151" t="s">
        <v>38</v>
      </c>
      <c r="H4" s="152" t="s">
        <v>39</v>
      </c>
      <c r="I4" s="151" t="s">
        <v>38</v>
      </c>
      <c r="J4" s="152" t="s">
        <v>39</v>
      </c>
      <c r="K4" s="151" t="s">
        <v>38</v>
      </c>
      <c r="L4" s="152" t="s">
        <v>39</v>
      </c>
    </row>
    <row r="5" spans="1:12" ht="26.25" customHeight="1">
      <c r="A5" s="269"/>
      <c r="B5" s="270" t="s">
        <v>125</v>
      </c>
      <c r="C5" s="271"/>
      <c r="D5" s="270"/>
      <c r="E5" s="244"/>
      <c r="F5" s="244">
        <f>F6+F9+F14</f>
        <v>10500</v>
      </c>
      <c r="G5" s="244"/>
      <c r="H5" s="244">
        <f>H6+H9+H14</f>
        <v>11300</v>
      </c>
      <c r="I5" s="244"/>
      <c r="J5" s="244">
        <f>J6+J9+J14</f>
        <v>11500</v>
      </c>
      <c r="K5" s="244"/>
      <c r="L5" s="244">
        <f>L6+L9+L14</f>
        <v>32100</v>
      </c>
    </row>
    <row r="6" spans="1:12" ht="27.75" customHeight="1">
      <c r="A6" s="202" t="s">
        <v>9</v>
      </c>
      <c r="B6" s="216" t="s">
        <v>151</v>
      </c>
      <c r="C6" s="203"/>
      <c r="D6" s="203"/>
      <c r="E6" s="316"/>
      <c r="F6" s="316">
        <f>F7+F8</f>
        <v>5200</v>
      </c>
      <c r="G6" s="316"/>
      <c r="H6" s="316">
        <f>H7+H8</f>
        <v>5200</v>
      </c>
      <c r="I6" s="316"/>
      <c r="J6" s="316">
        <f>J7+J8</f>
        <v>5200</v>
      </c>
      <c r="K6" s="316"/>
      <c r="L6" s="316">
        <f>L7+L8</f>
        <v>15600</v>
      </c>
    </row>
    <row r="7" spans="1:12" ht="23.25" customHeight="1">
      <c r="A7" s="206">
        <v>1</v>
      </c>
      <c r="B7" s="204" t="s">
        <v>152</v>
      </c>
      <c r="C7" s="205"/>
      <c r="D7" s="205">
        <v>2000</v>
      </c>
      <c r="E7" s="314">
        <v>2</v>
      </c>
      <c r="F7" s="311">
        <f>D7*E7</f>
        <v>4000</v>
      </c>
      <c r="G7" s="314">
        <v>2</v>
      </c>
      <c r="H7" s="311">
        <f>G7*D7</f>
        <v>4000</v>
      </c>
      <c r="I7" s="314">
        <v>2</v>
      </c>
      <c r="J7" s="311">
        <f>I7*D7</f>
        <v>4000</v>
      </c>
      <c r="K7" s="314">
        <f>I7+G7+E7</f>
        <v>6</v>
      </c>
      <c r="L7" s="314">
        <f>J7+H7+F7</f>
        <v>12000</v>
      </c>
    </row>
    <row r="8" spans="1:12" s="200" customFormat="1" ht="45.75" customHeight="1">
      <c r="A8" s="206">
        <v>2</v>
      </c>
      <c r="B8" s="243" t="s">
        <v>153</v>
      </c>
      <c r="C8" s="160"/>
      <c r="D8" s="233">
        <v>300</v>
      </c>
      <c r="E8" s="311">
        <v>4</v>
      </c>
      <c r="F8" s="311">
        <f>D8*E8</f>
        <v>1200</v>
      </c>
      <c r="G8" s="311">
        <v>4</v>
      </c>
      <c r="H8" s="311">
        <f>G8*D8</f>
        <v>1200</v>
      </c>
      <c r="I8" s="311">
        <v>4</v>
      </c>
      <c r="J8" s="311">
        <f>I8*D8</f>
        <v>1200</v>
      </c>
      <c r="K8" s="311">
        <f>I8+G8+E8</f>
        <v>12</v>
      </c>
      <c r="L8" s="311">
        <f>F8+H8+J8</f>
        <v>3600</v>
      </c>
    </row>
    <row r="9" spans="1:12" ht="42" customHeight="1">
      <c r="A9" s="202" t="s">
        <v>10</v>
      </c>
      <c r="B9" s="192" t="s">
        <v>154</v>
      </c>
      <c r="C9" s="203"/>
      <c r="D9" s="203"/>
      <c r="E9" s="316"/>
      <c r="F9" s="316">
        <f>SUM(F10:F13)</f>
        <v>4300</v>
      </c>
      <c r="G9" s="316"/>
      <c r="H9" s="316">
        <f>SUM(H10:H13)</f>
        <v>5100</v>
      </c>
      <c r="I9" s="316"/>
      <c r="J9" s="316">
        <f>SUM(J10:J13)</f>
        <v>5300</v>
      </c>
      <c r="K9" s="316"/>
      <c r="L9" s="316">
        <f>SUM(L10:L13)</f>
        <v>13500</v>
      </c>
    </row>
    <row r="10" spans="1:12" s="214" customFormat="1" ht="35.25" customHeight="1">
      <c r="A10" s="206">
        <v>1</v>
      </c>
      <c r="B10" s="211" t="s">
        <v>155</v>
      </c>
      <c r="C10" s="212" t="s">
        <v>156</v>
      </c>
      <c r="D10" s="213">
        <v>100</v>
      </c>
      <c r="E10" s="312">
        <v>16</v>
      </c>
      <c r="F10" s="312">
        <f>E10*D10</f>
        <v>1600</v>
      </c>
      <c r="G10" s="312">
        <v>18</v>
      </c>
      <c r="H10" s="312">
        <f>G10*D10</f>
        <v>1800</v>
      </c>
      <c r="I10" s="313">
        <v>20</v>
      </c>
      <c r="J10" s="313">
        <f>I10*D10</f>
        <v>2000</v>
      </c>
      <c r="K10" s="313">
        <f aca="true" t="shared" si="0" ref="K10:L15">I10+G10+E10</f>
        <v>54</v>
      </c>
      <c r="L10" s="314">
        <f t="shared" si="0"/>
        <v>5400</v>
      </c>
    </row>
    <row r="11" spans="1:12" s="214" customFormat="1" ht="44.25" customHeight="1">
      <c r="A11" s="210">
        <v>2</v>
      </c>
      <c r="B11" s="267" t="s">
        <v>256</v>
      </c>
      <c r="C11" s="212" t="s">
        <v>231</v>
      </c>
      <c r="D11" s="213" t="s">
        <v>255</v>
      </c>
      <c r="E11" s="312">
        <v>12</v>
      </c>
      <c r="F11" s="312">
        <f>E11*50</f>
        <v>600</v>
      </c>
      <c r="G11" s="312">
        <v>24</v>
      </c>
      <c r="H11" s="312">
        <f>G11*50</f>
        <v>1200</v>
      </c>
      <c r="I11" s="313">
        <v>24</v>
      </c>
      <c r="J11" s="312">
        <f>I11*50</f>
        <v>1200</v>
      </c>
      <c r="K11" s="313">
        <v>18</v>
      </c>
      <c r="L11" s="314">
        <v>1800</v>
      </c>
    </row>
    <row r="12" spans="1:12" ht="63">
      <c r="A12" s="206">
        <v>3</v>
      </c>
      <c r="B12" s="207" t="s">
        <v>157</v>
      </c>
      <c r="C12" s="209" t="s">
        <v>156</v>
      </c>
      <c r="D12" s="208">
        <v>30</v>
      </c>
      <c r="E12" s="315">
        <v>50</v>
      </c>
      <c r="F12" s="315">
        <f>E12*D12</f>
        <v>1500</v>
      </c>
      <c r="G12" s="315">
        <v>50</v>
      </c>
      <c r="H12" s="315">
        <f>G12*D12</f>
        <v>1500</v>
      </c>
      <c r="I12" s="314">
        <v>50</v>
      </c>
      <c r="J12" s="314">
        <f>I12*D12</f>
        <v>1500</v>
      </c>
      <c r="K12" s="314">
        <f t="shared" si="0"/>
        <v>150</v>
      </c>
      <c r="L12" s="314">
        <f t="shared" si="0"/>
        <v>4500</v>
      </c>
    </row>
    <row r="13" spans="1:12" ht="52.5" customHeight="1">
      <c r="A13" s="210">
        <v>4</v>
      </c>
      <c r="B13" s="207" t="s">
        <v>158</v>
      </c>
      <c r="C13" s="215" t="s">
        <v>159</v>
      </c>
      <c r="D13" s="209">
        <v>2</v>
      </c>
      <c r="E13" s="315">
        <v>300</v>
      </c>
      <c r="F13" s="315">
        <f>E13*D13</f>
        <v>600</v>
      </c>
      <c r="G13" s="315">
        <v>300</v>
      </c>
      <c r="H13" s="315">
        <f>G13*D13</f>
        <v>600</v>
      </c>
      <c r="I13" s="314">
        <v>300</v>
      </c>
      <c r="J13" s="314">
        <f>I13*D13</f>
        <v>600</v>
      </c>
      <c r="K13" s="314">
        <f t="shared" si="0"/>
        <v>900</v>
      </c>
      <c r="L13" s="314">
        <f t="shared" si="0"/>
        <v>1800</v>
      </c>
    </row>
    <row r="14" spans="1:12" s="200" customFormat="1" ht="36" customHeight="1">
      <c r="A14" s="202" t="s">
        <v>11</v>
      </c>
      <c r="B14" s="216" t="s">
        <v>160</v>
      </c>
      <c r="C14" s="254"/>
      <c r="D14" s="254"/>
      <c r="E14" s="316">
        <v>1</v>
      </c>
      <c r="F14" s="316">
        <f>F15</f>
        <v>1000</v>
      </c>
      <c r="G14" s="316">
        <v>1</v>
      </c>
      <c r="H14" s="316">
        <f>H15</f>
        <v>1000</v>
      </c>
      <c r="I14" s="316">
        <v>1</v>
      </c>
      <c r="J14" s="316">
        <f>J15</f>
        <v>1000</v>
      </c>
      <c r="K14" s="316">
        <f t="shared" si="0"/>
        <v>3</v>
      </c>
      <c r="L14" s="316">
        <f t="shared" si="0"/>
        <v>3000</v>
      </c>
    </row>
    <row r="15" spans="1:12" s="200" customFormat="1" ht="63">
      <c r="A15" s="206">
        <v>1</v>
      </c>
      <c r="B15" s="268" t="s">
        <v>161</v>
      </c>
      <c r="C15" s="215" t="s">
        <v>63</v>
      </c>
      <c r="D15" s="209">
        <v>1000</v>
      </c>
      <c r="E15" s="315">
        <v>1</v>
      </c>
      <c r="F15" s="315">
        <v>1000</v>
      </c>
      <c r="G15" s="315">
        <v>1</v>
      </c>
      <c r="H15" s="315">
        <v>1000</v>
      </c>
      <c r="I15" s="314">
        <v>1</v>
      </c>
      <c r="J15" s="314">
        <v>1000</v>
      </c>
      <c r="K15" s="314">
        <f t="shared" si="0"/>
        <v>3</v>
      </c>
      <c r="L15" s="314">
        <f t="shared" si="0"/>
        <v>3000</v>
      </c>
    </row>
    <row r="17" spans="11:12" ht="29.25" customHeight="1">
      <c r="K17" s="199"/>
      <c r="L17" s="199"/>
    </row>
  </sheetData>
  <sheetProtection/>
  <mergeCells count="11">
    <mergeCell ref="D3:D4"/>
    <mergeCell ref="I2:L2"/>
    <mergeCell ref="A1:L1"/>
    <mergeCell ref="E3:F3"/>
    <mergeCell ref="G3:H3"/>
    <mergeCell ref="I3:J3"/>
    <mergeCell ref="K3:L3"/>
    <mergeCell ref="E2:H2"/>
    <mergeCell ref="A3:A4"/>
    <mergeCell ref="B3:B4"/>
    <mergeCell ref="C3:C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19"/>
  <sheetViews>
    <sheetView zoomScalePageLayoutView="0" workbookViewId="0" topLeftCell="A1">
      <selection activeCell="B6" sqref="B6"/>
    </sheetView>
  </sheetViews>
  <sheetFormatPr defaultColWidth="9.00390625" defaultRowHeight="15.75"/>
  <cols>
    <col min="1" max="1" width="4.00390625" style="113" customWidth="1"/>
    <col min="2" max="2" width="32.125" style="112" customWidth="1"/>
    <col min="3" max="3" width="6.25390625" style="112" customWidth="1"/>
    <col min="4" max="4" width="12.625" style="112" customWidth="1"/>
    <col min="5" max="5" width="7.00390625" style="112" customWidth="1"/>
    <col min="6" max="6" width="7.50390625" style="112" customWidth="1"/>
    <col min="7" max="8" width="6.75390625" style="112" hidden="1" customWidth="1"/>
    <col min="9" max="9" width="7.25390625" style="112" customWidth="1"/>
    <col min="10" max="10" width="6.625" style="112" customWidth="1"/>
    <col min="11" max="12" width="7.25390625" style="112" customWidth="1"/>
    <col min="13" max="14" width="6.50390625" style="112" customWidth="1"/>
    <col min="15" max="16384" width="9.00390625" style="112" customWidth="1"/>
  </cols>
  <sheetData>
    <row r="1" spans="1:12" ht="23.25" customHeight="1">
      <c r="A1" s="60" t="s">
        <v>53</v>
      </c>
      <c r="B1" s="61"/>
      <c r="C1" s="61"/>
      <c r="D1" s="61"/>
      <c r="E1" s="61"/>
      <c r="F1" s="62"/>
      <c r="G1" s="62"/>
      <c r="H1" s="62"/>
      <c r="I1" s="62"/>
      <c r="J1" s="62"/>
      <c r="K1" s="62"/>
      <c r="L1" s="62"/>
    </row>
    <row r="2" spans="1:14" ht="27.75" customHeight="1">
      <c r="A2" s="345" t="s">
        <v>253</v>
      </c>
      <c r="B2" s="345"/>
      <c r="C2" s="345"/>
      <c r="D2" s="345"/>
      <c r="E2" s="345"/>
      <c r="F2" s="345"/>
      <c r="G2" s="345"/>
      <c r="H2" s="345"/>
      <c r="I2" s="345"/>
      <c r="J2" s="345"/>
      <c r="K2" s="345"/>
      <c r="L2" s="345"/>
      <c r="M2" s="345"/>
      <c r="N2" s="345"/>
    </row>
    <row r="3" spans="9:14" ht="18.75" customHeight="1">
      <c r="I3" s="357" t="s">
        <v>94</v>
      </c>
      <c r="J3" s="357"/>
      <c r="K3" s="357"/>
      <c r="L3" s="357"/>
      <c r="M3" s="357"/>
      <c r="N3" s="357"/>
    </row>
    <row r="4" spans="1:14" s="113" customFormat="1" ht="42.75" customHeight="1">
      <c r="A4" s="356" t="s">
        <v>0</v>
      </c>
      <c r="B4" s="356" t="s">
        <v>95</v>
      </c>
      <c r="C4" s="356" t="s">
        <v>96</v>
      </c>
      <c r="D4" s="356" t="s">
        <v>97</v>
      </c>
      <c r="E4" s="356" t="s">
        <v>98</v>
      </c>
      <c r="F4" s="356"/>
      <c r="G4" s="358" t="s">
        <v>99</v>
      </c>
      <c r="H4" s="359"/>
      <c r="I4" s="356" t="s">
        <v>100</v>
      </c>
      <c r="J4" s="356"/>
      <c r="K4" s="356" t="s">
        <v>101</v>
      </c>
      <c r="L4" s="356"/>
      <c r="M4" s="356" t="s">
        <v>102</v>
      </c>
      <c r="N4" s="356"/>
    </row>
    <row r="5" spans="1:14" ht="58.5" customHeight="1">
      <c r="A5" s="356"/>
      <c r="B5" s="356"/>
      <c r="C5" s="356"/>
      <c r="D5" s="356"/>
      <c r="E5" s="115" t="s">
        <v>38</v>
      </c>
      <c r="F5" s="116" t="s">
        <v>39</v>
      </c>
      <c r="G5" s="115" t="s">
        <v>38</v>
      </c>
      <c r="H5" s="116" t="s">
        <v>39</v>
      </c>
      <c r="I5" s="115" t="s">
        <v>38</v>
      </c>
      <c r="J5" s="116" t="s">
        <v>39</v>
      </c>
      <c r="K5" s="115" t="s">
        <v>38</v>
      </c>
      <c r="L5" s="116" t="s">
        <v>39</v>
      </c>
      <c r="M5" s="115" t="s">
        <v>38</v>
      </c>
      <c r="N5" s="116" t="s">
        <v>39</v>
      </c>
    </row>
    <row r="6" spans="1:14" s="120" customFormat="1" ht="39.75" customHeight="1">
      <c r="A6" s="114">
        <v>1</v>
      </c>
      <c r="B6" s="117" t="s">
        <v>103</v>
      </c>
      <c r="C6" s="118"/>
      <c r="D6" s="119"/>
      <c r="E6" s="119"/>
      <c r="F6" s="119">
        <f>F7</f>
        <v>3000</v>
      </c>
      <c r="G6" s="119"/>
      <c r="H6" s="119">
        <f>H7</f>
        <v>0</v>
      </c>
      <c r="I6" s="119"/>
      <c r="J6" s="119">
        <f>J7</f>
        <v>0</v>
      </c>
      <c r="K6" s="119"/>
      <c r="L6" s="119">
        <f>L7</f>
        <v>1500</v>
      </c>
      <c r="M6" s="119"/>
      <c r="N6" s="119">
        <f>N7</f>
        <v>1500</v>
      </c>
    </row>
    <row r="7" spans="1:14" ht="165.75" customHeight="1">
      <c r="A7" s="121"/>
      <c r="B7" s="82" t="s">
        <v>104</v>
      </c>
      <c r="C7" s="122" t="s">
        <v>105</v>
      </c>
      <c r="D7" s="123" t="s">
        <v>106</v>
      </c>
      <c r="E7" s="124">
        <f>G7+I7+K7+M7</f>
        <v>10000</v>
      </c>
      <c r="F7" s="124">
        <f>H7+J7+L7+N7</f>
        <v>3000</v>
      </c>
      <c r="G7" s="124"/>
      <c r="H7" s="124"/>
      <c r="I7" s="124"/>
      <c r="J7" s="124"/>
      <c r="K7" s="124">
        <v>5000</v>
      </c>
      <c r="L7" s="124">
        <f>K7*0.3</f>
        <v>1500</v>
      </c>
      <c r="M7" s="124">
        <v>5000</v>
      </c>
      <c r="N7" s="124">
        <f>M7*0.3</f>
        <v>1500</v>
      </c>
    </row>
    <row r="8" spans="1:14" s="120" customFormat="1" ht="32.25" customHeight="1">
      <c r="A8" s="114">
        <v>2</v>
      </c>
      <c r="B8" s="117" t="s">
        <v>107</v>
      </c>
      <c r="C8" s="125"/>
      <c r="D8" s="118"/>
      <c r="E8" s="119"/>
      <c r="F8" s="119">
        <f>F9</f>
        <v>27000</v>
      </c>
      <c r="G8" s="119"/>
      <c r="H8" s="119">
        <f>H9</f>
        <v>0</v>
      </c>
      <c r="I8" s="119"/>
      <c r="J8" s="119">
        <f>J9</f>
        <v>9000</v>
      </c>
      <c r="K8" s="119"/>
      <c r="L8" s="119">
        <f>L9</f>
        <v>9000</v>
      </c>
      <c r="M8" s="119"/>
      <c r="N8" s="119">
        <f>N9</f>
        <v>9000</v>
      </c>
    </row>
    <row r="9" spans="1:14" s="120" customFormat="1" ht="115.5" customHeight="1">
      <c r="A9" s="114"/>
      <c r="B9" s="82" t="s">
        <v>108</v>
      </c>
      <c r="C9" s="126" t="s">
        <v>109</v>
      </c>
      <c r="D9" s="127" t="s">
        <v>110</v>
      </c>
      <c r="E9" s="128">
        <f>G9+I9+K9+M9</f>
        <v>60</v>
      </c>
      <c r="F9" s="128">
        <f>H9+J9+L9+N9</f>
        <v>27000</v>
      </c>
      <c r="G9" s="129"/>
      <c r="H9" s="129">
        <f>G9*450</f>
        <v>0</v>
      </c>
      <c r="I9" s="129">
        <v>20</v>
      </c>
      <c r="J9" s="129">
        <f>I9*450</f>
        <v>9000</v>
      </c>
      <c r="K9" s="129">
        <v>20</v>
      </c>
      <c r="L9" s="129">
        <f>M9*450</f>
        <v>9000</v>
      </c>
      <c r="M9" s="129">
        <v>20</v>
      </c>
      <c r="N9" s="129">
        <f>M9*450</f>
        <v>9000</v>
      </c>
    </row>
    <row r="10" spans="1:14" s="120" customFormat="1" ht="42" customHeight="1">
      <c r="A10" s="114">
        <v>3</v>
      </c>
      <c r="B10" s="117" t="s">
        <v>111</v>
      </c>
      <c r="C10" s="130"/>
      <c r="D10" s="131"/>
      <c r="E10" s="119"/>
      <c r="F10" s="119">
        <f>F11</f>
        <v>1000</v>
      </c>
      <c r="G10" s="132"/>
      <c r="H10" s="119">
        <f>H11</f>
        <v>0</v>
      </c>
      <c r="I10" s="132"/>
      <c r="J10" s="119">
        <f>J11</f>
        <v>300</v>
      </c>
      <c r="K10" s="132"/>
      <c r="L10" s="119">
        <f>L11</f>
        <v>300</v>
      </c>
      <c r="M10" s="132"/>
      <c r="N10" s="119">
        <f>N11</f>
        <v>400</v>
      </c>
    </row>
    <row r="11" spans="1:14" s="120" customFormat="1" ht="220.5" customHeight="1">
      <c r="A11" s="114"/>
      <c r="B11" s="82" t="s">
        <v>112</v>
      </c>
      <c r="C11" s="121" t="s">
        <v>48</v>
      </c>
      <c r="D11" s="133" t="s">
        <v>113</v>
      </c>
      <c r="E11" s="128">
        <f>G11+I11+K11+M11</f>
        <v>100</v>
      </c>
      <c r="F11" s="128">
        <f>H11+J11+L11+N11</f>
        <v>1000</v>
      </c>
      <c r="G11" s="128"/>
      <c r="H11" s="134"/>
      <c r="I11" s="128">
        <v>30</v>
      </c>
      <c r="J11" s="134">
        <f>I11*10</f>
        <v>300</v>
      </c>
      <c r="K11" s="128">
        <v>30</v>
      </c>
      <c r="L11" s="128">
        <f>K11*10</f>
        <v>300</v>
      </c>
      <c r="M11" s="128">
        <v>40</v>
      </c>
      <c r="N11" s="128">
        <f>M11*10</f>
        <v>400</v>
      </c>
    </row>
    <row r="12" spans="1:14" s="120" customFormat="1" ht="66.75" customHeight="1">
      <c r="A12" s="114">
        <v>4</v>
      </c>
      <c r="B12" s="117" t="s">
        <v>114</v>
      </c>
      <c r="C12" s="130"/>
      <c r="D12" s="131"/>
      <c r="E12" s="119"/>
      <c r="F12" s="119">
        <f>F13</f>
        <v>3030</v>
      </c>
      <c r="G12" s="132"/>
      <c r="H12" s="119">
        <f>H13</f>
        <v>0</v>
      </c>
      <c r="I12" s="132"/>
      <c r="J12" s="119">
        <f>J13</f>
        <v>9</v>
      </c>
      <c r="K12" s="132"/>
      <c r="L12" s="119">
        <f>L13</f>
        <v>1509</v>
      </c>
      <c r="M12" s="132"/>
      <c r="N12" s="119">
        <f>N13</f>
        <v>1512</v>
      </c>
    </row>
    <row r="13" spans="1:14" s="120" customFormat="1" ht="89.25" customHeight="1">
      <c r="A13" s="114"/>
      <c r="B13" s="82" t="s">
        <v>115</v>
      </c>
      <c r="C13" s="135" t="s">
        <v>105</v>
      </c>
      <c r="D13" s="136" t="s">
        <v>106</v>
      </c>
      <c r="E13" s="128">
        <f>E11+E7</f>
        <v>10100</v>
      </c>
      <c r="F13" s="128">
        <f>H13+J13+L13+N13</f>
        <v>3030</v>
      </c>
      <c r="G13" s="128">
        <f>G11+G7</f>
        <v>0</v>
      </c>
      <c r="H13" s="128">
        <f>G13*0.3</f>
        <v>0</v>
      </c>
      <c r="I13" s="128">
        <f>I11+I7</f>
        <v>30</v>
      </c>
      <c r="J13" s="128">
        <f>I13*0.3</f>
        <v>9</v>
      </c>
      <c r="K13" s="128">
        <f>K11+K7</f>
        <v>5030</v>
      </c>
      <c r="L13" s="128">
        <f>K13*0.3</f>
        <v>1509</v>
      </c>
      <c r="M13" s="128">
        <f>M11+M7</f>
        <v>5040</v>
      </c>
      <c r="N13" s="128">
        <f>M13*0.3</f>
        <v>1512</v>
      </c>
    </row>
    <row r="14" spans="1:14" s="120" customFormat="1" ht="42.75" customHeight="1">
      <c r="A14" s="114">
        <v>5</v>
      </c>
      <c r="B14" s="118" t="s">
        <v>116</v>
      </c>
      <c r="C14" s="130"/>
      <c r="D14" s="131"/>
      <c r="E14" s="119"/>
      <c r="F14" s="119">
        <f>F15+F18</f>
        <v>36900</v>
      </c>
      <c r="G14" s="119"/>
      <c r="H14" s="119">
        <f aca="true" t="shared" si="0" ref="H14:N14">H15+H18</f>
        <v>0</v>
      </c>
      <c r="I14" s="119"/>
      <c r="J14" s="119">
        <f t="shared" si="0"/>
        <v>12300</v>
      </c>
      <c r="K14" s="119"/>
      <c r="L14" s="119">
        <f t="shared" si="0"/>
        <v>12300</v>
      </c>
      <c r="M14" s="119"/>
      <c r="N14" s="119">
        <f t="shared" si="0"/>
        <v>12300</v>
      </c>
    </row>
    <row r="15" spans="1:14" ht="84" customHeight="1">
      <c r="A15" s="137" t="s">
        <v>74</v>
      </c>
      <c r="B15" s="138" t="s">
        <v>117</v>
      </c>
      <c r="C15" s="121"/>
      <c r="D15" s="136"/>
      <c r="E15" s="128"/>
      <c r="F15" s="128">
        <f>F16+F17</f>
        <v>18900</v>
      </c>
      <c r="G15" s="128"/>
      <c r="H15" s="128">
        <f aca="true" t="shared" si="1" ref="H15:N15">H16+H17</f>
        <v>0</v>
      </c>
      <c r="I15" s="128"/>
      <c r="J15" s="128">
        <f t="shared" si="1"/>
        <v>6300</v>
      </c>
      <c r="K15" s="128"/>
      <c r="L15" s="128">
        <f t="shared" si="1"/>
        <v>6300</v>
      </c>
      <c r="M15" s="128"/>
      <c r="N15" s="128">
        <f t="shared" si="1"/>
        <v>6300</v>
      </c>
    </row>
    <row r="16" spans="1:14" ht="45.75" customHeight="1">
      <c r="A16" s="137" t="s">
        <v>29</v>
      </c>
      <c r="B16" s="138" t="s">
        <v>118</v>
      </c>
      <c r="C16" s="121" t="s">
        <v>105</v>
      </c>
      <c r="D16" s="136" t="s">
        <v>106</v>
      </c>
      <c r="E16" s="128" t="s">
        <v>119</v>
      </c>
      <c r="F16" s="128">
        <f>H16+J16+L16+N16</f>
        <v>16200</v>
      </c>
      <c r="G16" s="128"/>
      <c r="H16" s="128"/>
      <c r="I16" s="128">
        <v>18000</v>
      </c>
      <c r="J16" s="128">
        <f>I16*0.3</f>
        <v>5400</v>
      </c>
      <c r="K16" s="128">
        <v>18000</v>
      </c>
      <c r="L16" s="128">
        <f>K16*0.3</f>
        <v>5400</v>
      </c>
      <c r="M16" s="128">
        <v>18000</v>
      </c>
      <c r="N16" s="128">
        <f>M16*0.3</f>
        <v>5400</v>
      </c>
    </row>
    <row r="17" spans="1:14" ht="44.25" customHeight="1">
      <c r="A17" s="137" t="s">
        <v>29</v>
      </c>
      <c r="B17" s="138" t="s">
        <v>120</v>
      </c>
      <c r="C17" s="139" t="s">
        <v>48</v>
      </c>
      <c r="D17" s="140" t="s">
        <v>121</v>
      </c>
      <c r="E17" s="129" t="s">
        <v>122</v>
      </c>
      <c r="F17" s="129">
        <f>H17+J17+L17+N17</f>
        <v>2700</v>
      </c>
      <c r="G17" s="129"/>
      <c r="H17" s="141"/>
      <c r="I17" s="129">
        <v>9000</v>
      </c>
      <c r="J17" s="141">
        <v>900</v>
      </c>
      <c r="K17" s="129">
        <v>9000</v>
      </c>
      <c r="L17" s="141">
        <v>900</v>
      </c>
      <c r="M17" s="129">
        <v>9000</v>
      </c>
      <c r="N17" s="141">
        <v>900</v>
      </c>
    </row>
    <row r="18" spans="1:14" ht="47.25" customHeight="1">
      <c r="A18" s="137" t="s">
        <v>83</v>
      </c>
      <c r="B18" s="138" t="s">
        <v>123</v>
      </c>
      <c r="C18" s="139" t="s">
        <v>105</v>
      </c>
      <c r="D18" s="142" t="s">
        <v>124</v>
      </c>
      <c r="E18" s="128">
        <f>G18+I18+K18+M18</f>
        <v>6000</v>
      </c>
      <c r="F18" s="128">
        <f>H18+J18+L18+N18</f>
        <v>18000</v>
      </c>
      <c r="G18" s="129"/>
      <c r="H18" s="129"/>
      <c r="I18" s="129">
        <v>2000</v>
      </c>
      <c r="J18" s="129">
        <f>I18*3</f>
        <v>6000</v>
      </c>
      <c r="K18" s="129">
        <v>2000</v>
      </c>
      <c r="L18" s="129">
        <f>K18*3</f>
        <v>6000</v>
      </c>
      <c r="M18" s="129">
        <v>2000</v>
      </c>
      <c r="N18" s="129">
        <f>M18*3</f>
        <v>6000</v>
      </c>
    </row>
    <row r="19" spans="1:17" ht="26.25" customHeight="1">
      <c r="A19" s="143"/>
      <c r="B19" s="144" t="s">
        <v>125</v>
      </c>
      <c r="C19" s="145"/>
      <c r="D19" s="146"/>
      <c r="E19" s="146"/>
      <c r="F19" s="146">
        <f>F6+F8+F10+F12+F14</f>
        <v>70930</v>
      </c>
      <c r="G19" s="146">
        <f aca="true" t="shared" si="2" ref="G19:N19">G6+G8+G10+G12+G14</f>
        <v>0</v>
      </c>
      <c r="H19" s="146">
        <f t="shared" si="2"/>
        <v>0</v>
      </c>
      <c r="I19" s="146">
        <f t="shared" si="2"/>
        <v>0</v>
      </c>
      <c r="J19" s="146">
        <f t="shared" si="2"/>
        <v>21609</v>
      </c>
      <c r="K19" s="146">
        <f t="shared" si="2"/>
        <v>0</v>
      </c>
      <c r="L19" s="146">
        <f t="shared" si="2"/>
        <v>24609</v>
      </c>
      <c r="M19" s="146">
        <f t="shared" si="2"/>
        <v>0</v>
      </c>
      <c r="N19" s="146">
        <f t="shared" si="2"/>
        <v>24712</v>
      </c>
      <c r="Q19" s="147"/>
    </row>
  </sheetData>
  <sheetProtection/>
  <mergeCells count="11">
    <mergeCell ref="K4:L4"/>
    <mergeCell ref="M4:N4"/>
    <mergeCell ref="A2:N2"/>
    <mergeCell ref="I3:N3"/>
    <mergeCell ref="A4:A5"/>
    <mergeCell ref="B4:B5"/>
    <mergeCell ref="C4:C5"/>
    <mergeCell ref="D4:D5"/>
    <mergeCell ref="E4:F4"/>
    <mergeCell ref="G4:H4"/>
    <mergeCell ref="I4:J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J9" sqref="J9"/>
    </sheetView>
  </sheetViews>
  <sheetFormatPr defaultColWidth="6.625" defaultRowHeight="15.75"/>
  <cols>
    <col min="1" max="1" width="3.25390625" style="167" customWidth="1"/>
    <col min="2" max="2" width="22.625" style="168" customWidth="1"/>
    <col min="3" max="3" width="6.25390625" style="37" customWidth="1"/>
    <col min="4" max="4" width="8.25390625" style="37" customWidth="1"/>
    <col min="5" max="5" width="4.875" style="169" customWidth="1"/>
    <col min="6" max="6" width="7.50390625" style="169" customWidth="1"/>
    <col min="7" max="7" width="5.875" style="37" customWidth="1"/>
    <col min="8" max="8" width="8.125" style="37" customWidth="1"/>
    <col min="9" max="9" width="5.875" style="37" customWidth="1"/>
    <col min="10" max="10" width="8.00390625" style="37" customWidth="1"/>
    <col min="11" max="11" width="6.00390625" style="167" customWidth="1"/>
    <col min="12" max="12" width="8.75390625" style="167" customWidth="1"/>
    <col min="13" max="13" width="6.00390625" style="28" customWidth="1"/>
    <col min="14" max="250" width="9.00390625" style="28" customWidth="1"/>
    <col min="251" max="251" width="2.50390625" style="28" customWidth="1"/>
    <col min="252" max="252" width="14.00390625" style="28" customWidth="1"/>
    <col min="253" max="253" width="4.50390625" style="28" customWidth="1"/>
    <col min="254" max="254" width="8.25390625" style="28" customWidth="1"/>
    <col min="255" max="255" width="5.00390625" style="28" customWidth="1"/>
    <col min="256" max="16384" width="6.625" style="28" customWidth="1"/>
  </cols>
  <sheetData>
    <row r="1" spans="1:12" ht="40.5" customHeight="1">
      <c r="A1" s="360" t="s">
        <v>254</v>
      </c>
      <c r="B1" s="360"/>
      <c r="C1" s="360"/>
      <c r="D1" s="360"/>
      <c r="E1" s="360"/>
      <c r="F1" s="360"/>
      <c r="G1" s="360"/>
      <c r="H1" s="360"/>
      <c r="I1" s="360"/>
      <c r="J1" s="360"/>
      <c r="K1" s="360"/>
      <c r="L1" s="360"/>
    </row>
    <row r="2" spans="1:12" ht="15.75">
      <c r="A2" s="148"/>
      <c r="B2" s="28"/>
      <c r="C2" s="149"/>
      <c r="D2" s="149"/>
      <c r="E2" s="149"/>
      <c r="F2" s="149"/>
      <c r="G2" s="149"/>
      <c r="H2" s="361" t="s">
        <v>1</v>
      </c>
      <c r="I2" s="361"/>
      <c r="J2" s="361"/>
      <c r="K2" s="361"/>
      <c r="L2" s="361"/>
    </row>
    <row r="3" spans="1:12" ht="30.75" customHeight="1">
      <c r="A3" s="362" t="s">
        <v>0</v>
      </c>
      <c r="B3" s="362" t="s">
        <v>2</v>
      </c>
      <c r="C3" s="362" t="s">
        <v>36</v>
      </c>
      <c r="D3" s="362" t="s">
        <v>37</v>
      </c>
      <c r="E3" s="363" t="s">
        <v>3</v>
      </c>
      <c r="F3" s="364"/>
      <c r="G3" s="363" t="s">
        <v>4</v>
      </c>
      <c r="H3" s="364"/>
      <c r="I3" s="363" t="s">
        <v>5</v>
      </c>
      <c r="J3" s="364"/>
      <c r="K3" s="363" t="s">
        <v>126</v>
      </c>
      <c r="L3" s="364"/>
    </row>
    <row r="4" spans="1:12" ht="63">
      <c r="A4" s="362"/>
      <c r="B4" s="362"/>
      <c r="C4" s="362"/>
      <c r="D4" s="362"/>
      <c r="E4" s="151" t="s">
        <v>38</v>
      </c>
      <c r="F4" s="152" t="s">
        <v>39</v>
      </c>
      <c r="G4" s="151" t="s">
        <v>38</v>
      </c>
      <c r="H4" s="152" t="s">
        <v>39</v>
      </c>
      <c r="I4" s="151" t="s">
        <v>38</v>
      </c>
      <c r="J4" s="152" t="s">
        <v>39</v>
      </c>
      <c r="K4" s="150" t="s">
        <v>38</v>
      </c>
      <c r="L4" s="150" t="s">
        <v>40</v>
      </c>
    </row>
    <row r="5" spans="1:12" ht="15.75">
      <c r="A5" s="150"/>
      <c r="B5" s="150" t="s">
        <v>125</v>
      </c>
      <c r="C5" s="150"/>
      <c r="D5" s="150"/>
      <c r="E5" s="151"/>
      <c r="F5" s="152">
        <f>F6+F11</f>
        <v>13000</v>
      </c>
      <c r="G5" s="152">
        <f aca="true" t="shared" si="0" ref="G5:L5">G6+G11</f>
        <v>0</v>
      </c>
      <c r="H5" s="152">
        <f t="shared" si="0"/>
        <v>13000</v>
      </c>
      <c r="I5" s="152">
        <f t="shared" si="0"/>
        <v>0</v>
      </c>
      <c r="J5" s="152">
        <f t="shared" si="0"/>
        <v>13000</v>
      </c>
      <c r="K5" s="152">
        <f t="shared" si="0"/>
        <v>0</v>
      </c>
      <c r="L5" s="152">
        <f t="shared" si="0"/>
        <v>39000</v>
      </c>
    </row>
    <row r="6" spans="1:12" ht="29.25">
      <c r="A6" s="53">
        <v>1</v>
      </c>
      <c r="B6" s="153" t="s">
        <v>127</v>
      </c>
      <c r="C6" s="154"/>
      <c r="D6" s="154"/>
      <c r="E6" s="155"/>
      <c r="F6" s="156">
        <v>3000</v>
      </c>
      <c r="G6" s="156"/>
      <c r="H6" s="156">
        <v>3000</v>
      </c>
      <c r="I6" s="156"/>
      <c r="J6" s="156">
        <v>3000</v>
      </c>
      <c r="K6" s="157"/>
      <c r="L6" s="156">
        <f>F6+H6+J6</f>
        <v>9000</v>
      </c>
    </row>
    <row r="7" spans="1:12" ht="24">
      <c r="A7" s="53"/>
      <c r="B7" s="158" t="s">
        <v>128</v>
      </c>
      <c r="C7" s="159"/>
      <c r="D7" s="154"/>
      <c r="E7" s="157"/>
      <c r="F7" s="157">
        <v>1500</v>
      </c>
      <c r="G7" s="160"/>
      <c r="H7" s="157">
        <v>1500</v>
      </c>
      <c r="I7" s="157"/>
      <c r="J7" s="157">
        <v>1500</v>
      </c>
      <c r="K7" s="157"/>
      <c r="L7" s="156">
        <f>F7+H7+J7</f>
        <v>4500</v>
      </c>
    </row>
    <row r="8" spans="1:12" ht="24.75">
      <c r="A8" s="161"/>
      <c r="B8" s="162" t="s">
        <v>129</v>
      </c>
      <c r="C8" s="159"/>
      <c r="D8" s="154"/>
      <c r="E8" s="157"/>
      <c r="F8" s="157">
        <v>800</v>
      </c>
      <c r="G8" s="160"/>
      <c r="H8" s="160">
        <v>800</v>
      </c>
      <c r="I8" s="160"/>
      <c r="J8" s="160">
        <v>800</v>
      </c>
      <c r="K8" s="163"/>
      <c r="L8" s="156">
        <f>F8+H8+J8</f>
        <v>2400</v>
      </c>
    </row>
    <row r="9" spans="1:12" ht="28.5" customHeight="1">
      <c r="A9" s="161"/>
      <c r="B9" s="162" t="s">
        <v>130</v>
      </c>
      <c r="C9" s="154"/>
      <c r="D9" s="154"/>
      <c r="E9" s="157"/>
      <c r="F9" s="157">
        <v>550</v>
      </c>
      <c r="G9" s="160"/>
      <c r="H9" s="160">
        <v>550</v>
      </c>
      <c r="I9" s="160"/>
      <c r="J9" s="160">
        <v>550</v>
      </c>
      <c r="K9" s="163"/>
      <c r="L9" s="156">
        <v>1650</v>
      </c>
    </row>
    <row r="10" spans="1:12" ht="48.75">
      <c r="A10" s="161"/>
      <c r="B10" s="162" t="s">
        <v>131</v>
      </c>
      <c r="C10" s="154"/>
      <c r="D10" s="154"/>
      <c r="E10" s="157"/>
      <c r="F10" s="157">
        <v>150</v>
      </c>
      <c r="G10" s="160"/>
      <c r="H10" s="160">
        <v>150</v>
      </c>
      <c r="I10" s="160"/>
      <c r="J10" s="160">
        <v>150</v>
      </c>
      <c r="K10" s="163"/>
      <c r="L10" s="156">
        <v>450</v>
      </c>
    </row>
    <row r="11" spans="1:12" s="166" customFormat="1" ht="24.75">
      <c r="A11" s="53">
        <v>2</v>
      </c>
      <c r="B11" s="164" t="s">
        <v>132</v>
      </c>
      <c r="C11" s="165"/>
      <c r="D11" s="165"/>
      <c r="E11" s="156"/>
      <c r="F11" s="156">
        <v>10000</v>
      </c>
      <c r="G11" s="156"/>
      <c r="H11" s="156">
        <v>10000</v>
      </c>
      <c r="I11" s="156"/>
      <c r="J11" s="156">
        <v>10000</v>
      </c>
      <c r="K11" s="163"/>
      <c r="L11" s="156">
        <f>L12+L13+L14+L15+L16</f>
        <v>30000</v>
      </c>
    </row>
    <row r="12" spans="1:12" ht="120.75">
      <c r="A12" s="53"/>
      <c r="B12" s="162" t="s">
        <v>133</v>
      </c>
      <c r="C12" s="154"/>
      <c r="D12" s="154"/>
      <c r="E12" s="157"/>
      <c r="F12" s="157">
        <v>6150</v>
      </c>
      <c r="G12" s="157"/>
      <c r="H12" s="157">
        <v>6150</v>
      </c>
      <c r="I12" s="157"/>
      <c r="J12" s="157">
        <v>6150</v>
      </c>
      <c r="K12" s="163"/>
      <c r="L12" s="156">
        <f>F12+H12+J12</f>
        <v>18450</v>
      </c>
    </row>
    <row r="13" spans="1:12" ht="24.75">
      <c r="A13" s="53"/>
      <c r="B13" s="162" t="s">
        <v>134</v>
      </c>
      <c r="C13" s="154"/>
      <c r="D13" s="154"/>
      <c r="E13" s="157"/>
      <c r="F13" s="157">
        <v>1200</v>
      </c>
      <c r="G13" s="157"/>
      <c r="H13" s="157">
        <v>1200</v>
      </c>
      <c r="I13" s="157"/>
      <c r="J13" s="157">
        <v>1200</v>
      </c>
      <c r="K13" s="157"/>
      <c r="L13" s="156">
        <f>F13+H13+J13</f>
        <v>3600</v>
      </c>
    </row>
    <row r="14" spans="1:12" ht="48.75">
      <c r="A14" s="53"/>
      <c r="B14" s="162" t="s">
        <v>135</v>
      </c>
      <c r="C14" s="154"/>
      <c r="D14" s="154"/>
      <c r="E14" s="157"/>
      <c r="F14" s="157">
        <v>1000</v>
      </c>
      <c r="G14" s="157"/>
      <c r="H14" s="157">
        <v>1000</v>
      </c>
      <c r="I14" s="157"/>
      <c r="J14" s="157">
        <v>1000</v>
      </c>
      <c r="K14" s="163"/>
      <c r="L14" s="156">
        <f>F14+H14+J14</f>
        <v>3000</v>
      </c>
    </row>
    <row r="15" spans="1:12" ht="48.75">
      <c r="A15" s="53"/>
      <c r="B15" s="162" t="s">
        <v>136</v>
      </c>
      <c r="C15" s="154"/>
      <c r="D15" s="154"/>
      <c r="E15" s="157"/>
      <c r="F15" s="157">
        <v>1500</v>
      </c>
      <c r="G15" s="160"/>
      <c r="H15" s="157">
        <v>1500</v>
      </c>
      <c r="I15" s="157"/>
      <c r="J15" s="157">
        <v>1500</v>
      </c>
      <c r="K15" s="163"/>
      <c r="L15" s="156">
        <f>F15+H15+J15</f>
        <v>4500</v>
      </c>
    </row>
    <row r="16" spans="1:12" ht="64.5" customHeight="1">
      <c r="A16" s="53"/>
      <c r="B16" s="162" t="s">
        <v>137</v>
      </c>
      <c r="C16" s="154"/>
      <c r="D16" s="154"/>
      <c r="E16" s="157"/>
      <c r="F16" s="157">
        <v>150</v>
      </c>
      <c r="G16" s="160"/>
      <c r="H16" s="160">
        <v>150</v>
      </c>
      <c r="I16" s="160"/>
      <c r="J16" s="160">
        <v>150</v>
      </c>
      <c r="K16" s="163"/>
      <c r="L16" s="156">
        <f>F16+H16+J16</f>
        <v>450</v>
      </c>
    </row>
  </sheetData>
  <sheetProtection/>
  <mergeCells count="10">
    <mergeCell ref="A1:L1"/>
    <mergeCell ref="H2:L2"/>
    <mergeCell ref="A3:A4"/>
    <mergeCell ref="B3:B4"/>
    <mergeCell ref="C3:C4"/>
    <mergeCell ref="D3:D4"/>
    <mergeCell ref="E3:F3"/>
    <mergeCell ref="G3:H3"/>
    <mergeCell ref="I3:J3"/>
    <mergeCell ref="K3:L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20"/>
  <sheetViews>
    <sheetView zoomScalePageLayoutView="0" workbookViewId="0" topLeftCell="A4">
      <selection activeCell="D8" sqref="D8"/>
    </sheetView>
  </sheetViews>
  <sheetFormatPr defaultColWidth="9.00390625" defaultRowHeight="15.75"/>
  <cols>
    <col min="1" max="1" width="3.625" style="182" customWidth="1"/>
    <col min="2" max="2" width="54.25390625" style="197" customWidth="1"/>
    <col min="3" max="8" width="11.50390625" style="180" customWidth="1"/>
    <col min="9" max="9" width="2.00390625" style="180" customWidth="1"/>
    <col min="10" max="10" width="5.25390625" style="180" customWidth="1"/>
    <col min="11" max="11" width="9.00390625" style="180" customWidth="1"/>
    <col min="12" max="12" width="11.375" style="180" customWidth="1"/>
    <col min="13" max="13" width="9.00390625" style="180" customWidth="1"/>
    <col min="14" max="16384" width="9.00390625" style="180" customWidth="1"/>
  </cols>
  <sheetData>
    <row r="1" spans="1:2" ht="21" customHeight="1">
      <c r="A1" s="178"/>
      <c r="B1" s="179"/>
    </row>
    <row r="2" spans="1:8" ht="31.5" customHeight="1">
      <c r="A2" s="365" t="s">
        <v>7</v>
      </c>
      <c r="B2" s="365"/>
      <c r="C2" s="365"/>
      <c r="D2" s="365"/>
      <c r="E2" s="365"/>
      <c r="F2" s="365"/>
      <c r="G2" s="365"/>
      <c r="H2" s="365"/>
    </row>
    <row r="3" spans="1:2" ht="24.75" customHeight="1">
      <c r="A3" s="181"/>
      <c r="B3" s="178" t="s">
        <v>142</v>
      </c>
    </row>
    <row r="4" spans="1:8" ht="30" customHeight="1">
      <c r="A4" s="366" t="s">
        <v>0</v>
      </c>
      <c r="B4" s="366" t="s">
        <v>143</v>
      </c>
      <c r="C4" s="363" t="s">
        <v>3</v>
      </c>
      <c r="D4" s="364"/>
      <c r="E4" s="363" t="s">
        <v>4</v>
      </c>
      <c r="F4" s="364"/>
      <c r="G4" s="363" t="s">
        <v>144</v>
      </c>
      <c r="H4" s="364"/>
    </row>
    <row r="5" spans="1:8" s="182" customFormat="1" ht="39" customHeight="1">
      <c r="A5" s="367"/>
      <c r="B5" s="367"/>
      <c r="C5" s="151" t="s">
        <v>38</v>
      </c>
      <c r="D5" s="152" t="s">
        <v>39</v>
      </c>
      <c r="E5" s="151" t="s">
        <v>38</v>
      </c>
      <c r="F5" s="152" t="s">
        <v>39</v>
      </c>
      <c r="G5" s="150" t="s">
        <v>38</v>
      </c>
      <c r="H5" s="150" t="s">
        <v>40</v>
      </c>
    </row>
    <row r="6" spans="1:8" s="186" customFormat="1" ht="14.25">
      <c r="A6" s="183"/>
      <c r="B6" s="184" t="s">
        <v>145</v>
      </c>
      <c r="C6" s="185"/>
      <c r="D6" s="185">
        <f>+D7+D9+D13+D15+D11+D19</f>
        <v>23500</v>
      </c>
      <c r="E6" s="185">
        <f>+E7+E9+E13+E15+E11+E19</f>
        <v>160</v>
      </c>
      <c r="F6" s="185">
        <f>+F7+F9+F13+F15+F11+F19</f>
        <v>23900</v>
      </c>
      <c r="G6" s="185">
        <f>+G7+G9+G13+G15+G11+G19</f>
        <v>319</v>
      </c>
      <c r="H6" s="185">
        <f>+H7+H9+H13+H15+H11+H19</f>
        <v>47400</v>
      </c>
    </row>
    <row r="7" spans="1:8" s="186" customFormat="1" ht="30" customHeight="1">
      <c r="A7" s="187">
        <f>+'[1]Khung sửa đổi Ocop'!A6</f>
        <v>1</v>
      </c>
      <c r="B7" s="188" t="str">
        <f>+'[1]Khung sửa đổi Ocop'!B6</f>
        <v>Hỗ trợ quy hoạch chi tiết hoặc lập dự án, phương án phát triển sản phẩm OCOP</v>
      </c>
      <c r="C7" s="185">
        <f aca="true" t="shared" si="0" ref="C7:H7">+C8</f>
        <v>30</v>
      </c>
      <c r="D7" s="185">
        <f t="shared" si="0"/>
        <v>1100</v>
      </c>
      <c r="E7" s="185">
        <f t="shared" si="0"/>
        <v>30</v>
      </c>
      <c r="F7" s="185">
        <f t="shared" si="0"/>
        <v>1100</v>
      </c>
      <c r="G7" s="185">
        <f t="shared" si="0"/>
        <v>60</v>
      </c>
      <c r="H7" s="185">
        <f t="shared" si="0"/>
        <v>2200</v>
      </c>
    </row>
    <row r="8" spans="1:8" ht="70.5" customHeight="1">
      <c r="A8" s="189" t="str">
        <f>+'[1]Khung sửa đổi Ocop'!A7</f>
        <v>-</v>
      </c>
      <c r="B8" s="190" t="s">
        <v>146</v>
      </c>
      <c r="C8" s="191">
        <v>30</v>
      </c>
      <c r="D8" s="191">
        <f>10*70+20*20</f>
        <v>1100</v>
      </c>
      <c r="E8" s="191">
        <v>30</v>
      </c>
      <c r="F8" s="191">
        <f>10*70+20*20</f>
        <v>1100</v>
      </c>
      <c r="G8" s="191">
        <f>+C8+E8</f>
        <v>60</v>
      </c>
      <c r="H8" s="191">
        <f>D8+F8</f>
        <v>2200</v>
      </c>
    </row>
    <row r="9" spans="1:8" s="186" customFormat="1" ht="17.25" customHeight="1">
      <c r="A9" s="187">
        <v>2</v>
      </c>
      <c r="B9" s="192" t="str">
        <f>+'[1]Khung sửa đổi Ocop'!B8</f>
        <v>Hỗ trợ chuyển giao công nghệ, trang thiết bị</v>
      </c>
      <c r="C9" s="185">
        <f aca="true" t="shared" si="1" ref="C9:H9">+C10</f>
        <v>8</v>
      </c>
      <c r="D9" s="185">
        <f t="shared" si="1"/>
        <v>5600</v>
      </c>
      <c r="E9" s="185">
        <f t="shared" si="1"/>
        <v>8</v>
      </c>
      <c r="F9" s="185">
        <f t="shared" si="1"/>
        <v>5600</v>
      </c>
      <c r="G9" s="185">
        <f t="shared" si="1"/>
        <v>16</v>
      </c>
      <c r="H9" s="185">
        <f t="shared" si="1"/>
        <v>11200</v>
      </c>
    </row>
    <row r="10" spans="1:8" ht="67.5" customHeight="1">
      <c r="A10" s="193" t="str">
        <f>+'[1]Khung sửa đổi Ocop'!A9</f>
        <v>-</v>
      </c>
      <c r="B10" s="194" t="str">
        <f>+'[1]Khung sửa đổi Ocop'!B9</f>
        <v>Hỗ trợ 50% kinh phí thực hiện chuyển giao công nghệ, trang thiết bị mới nhằm nâng cao năng suất, chất lượng và gia tăng giá trị các sản phẩm OCOP, nhưng tối đa không quá 2 tỷ đồng cho mỗi tổ chức, cá nhân. </v>
      </c>
      <c r="C10" s="191">
        <v>8</v>
      </c>
      <c r="D10" s="191">
        <f>C10*700</f>
        <v>5600</v>
      </c>
      <c r="E10" s="191">
        <v>8</v>
      </c>
      <c r="F10" s="191">
        <f>E10*700</f>
        <v>5600</v>
      </c>
      <c r="G10" s="191">
        <f>+C10+E10</f>
        <v>16</v>
      </c>
      <c r="H10" s="191">
        <f>+D10+F10</f>
        <v>11200</v>
      </c>
    </row>
    <row r="11" spans="1:12" s="186" customFormat="1" ht="18" customHeight="1">
      <c r="A11" s="187">
        <f>+'[1]Khung sửa đổi Ocop'!A10</f>
        <v>3</v>
      </c>
      <c r="B11" s="195" t="str">
        <f>+'[1]Khung sửa đổi Ocop'!B10</f>
        <v>Chính sách đào tạo nguồn nhân lực</v>
      </c>
      <c r="C11" s="185">
        <f aca="true" t="shared" si="2" ref="C11:H11">+C12</f>
        <v>30</v>
      </c>
      <c r="D11" s="185">
        <f t="shared" si="2"/>
        <v>1500</v>
      </c>
      <c r="E11" s="185">
        <f t="shared" si="2"/>
        <v>30</v>
      </c>
      <c r="F11" s="185">
        <f t="shared" si="2"/>
        <v>1500</v>
      </c>
      <c r="G11" s="185">
        <f t="shared" si="2"/>
        <v>60</v>
      </c>
      <c r="H11" s="185">
        <f t="shared" si="2"/>
        <v>3000</v>
      </c>
      <c r="L11" s="180"/>
    </row>
    <row r="12" spans="1:8" ht="63">
      <c r="A12" s="193" t="str">
        <f>+'[1]Khung sửa đổi Ocop'!A11</f>
        <v>-</v>
      </c>
      <c r="B12" s="196" t="s">
        <v>147</v>
      </c>
      <c r="C12" s="191">
        <v>30</v>
      </c>
      <c r="D12" s="191">
        <f>+C12*50</f>
        <v>1500</v>
      </c>
      <c r="E12" s="191">
        <v>30</v>
      </c>
      <c r="F12" s="191">
        <f>+E12*50</f>
        <v>1500</v>
      </c>
      <c r="G12" s="191">
        <f>+C12+E12</f>
        <v>60</v>
      </c>
      <c r="H12" s="191">
        <f>+D12+F12</f>
        <v>3000</v>
      </c>
    </row>
    <row r="13" spans="1:8" ht="33.75" customHeight="1">
      <c r="A13" s="187">
        <f>+'[1]Khung sửa đổi Ocop'!A12</f>
        <v>4</v>
      </c>
      <c r="B13" s="195" t="str">
        <f>+'[1]Khung sửa đổi Ocop'!B12</f>
        <v>Hỗ trợ xây dựng thương hiệu, công bố chất lượng, truy xuất nguồn gốc sản phẩm</v>
      </c>
      <c r="C13" s="185">
        <f aca="true" t="shared" si="3" ref="C13:H13">C14</f>
        <v>35</v>
      </c>
      <c r="D13" s="185">
        <f t="shared" si="3"/>
        <v>5950</v>
      </c>
      <c r="E13" s="185">
        <f t="shared" si="3"/>
        <v>35</v>
      </c>
      <c r="F13" s="185">
        <f t="shared" si="3"/>
        <v>5950</v>
      </c>
      <c r="G13" s="185">
        <f t="shared" si="3"/>
        <v>70</v>
      </c>
      <c r="H13" s="185">
        <f t="shared" si="3"/>
        <v>11900</v>
      </c>
    </row>
    <row r="14" spans="1:9" s="186" customFormat="1" ht="67.5" customHeight="1">
      <c r="A14" s="189" t="str">
        <f>+'[1]Khung sửa đổi Ocop'!A13</f>
        <v>-</v>
      </c>
      <c r="B14" s="194" t="str">
        <f>+'[1]Khung sửa đổi Ocop'!B13</f>
        <v>Hỗ trợ 100% kinh phí cho việc thiết kế, xây dựng, in ấn (mẫu) bộ nhận diện thương hiệu và xây dựng hồ sơ công bố chất lượng, mã số mã vạch cho sản phẩm OCOP, nhưng tối đa không quá 300 triệu đồng/sản phẩm cho mỗi tổ chức, cá nhân.</v>
      </c>
      <c r="C14" s="191">
        <v>35</v>
      </c>
      <c r="D14" s="191">
        <f>+C14*170</f>
        <v>5950</v>
      </c>
      <c r="E14" s="191">
        <v>35</v>
      </c>
      <c r="F14" s="191">
        <f>+E14*170</f>
        <v>5950</v>
      </c>
      <c r="G14" s="191">
        <f>+C14+E14</f>
        <v>70</v>
      </c>
      <c r="H14" s="191">
        <f>+D14+F14</f>
        <v>11900</v>
      </c>
      <c r="I14" s="180"/>
    </row>
    <row r="15" spans="1:8" s="186" customFormat="1" ht="18.75" customHeight="1">
      <c r="A15" s="187">
        <f>+'[1]Khung sửa đổi Ocop'!A14</f>
        <v>5</v>
      </c>
      <c r="B15" s="192" t="str">
        <f>+'[1]Khung sửa đổi Ocop'!B14</f>
        <v>Hỗ trợ bảo quản và tiêu thụ sản phẩm</v>
      </c>
      <c r="C15" s="185">
        <f aca="true" t="shared" si="4" ref="C15:H15">+C16+C17+C18</f>
        <v>26</v>
      </c>
      <c r="D15" s="185">
        <f t="shared" si="4"/>
        <v>8050</v>
      </c>
      <c r="E15" s="185">
        <f t="shared" si="4"/>
        <v>27</v>
      </c>
      <c r="F15" s="185">
        <f t="shared" si="4"/>
        <v>8350</v>
      </c>
      <c r="G15" s="185">
        <f t="shared" si="4"/>
        <v>53</v>
      </c>
      <c r="H15" s="185">
        <f t="shared" si="4"/>
        <v>16400</v>
      </c>
    </row>
    <row r="16" spans="1:8" ht="101.25" customHeight="1">
      <c r="A16" s="189" t="str">
        <f>+'[1]Khung sửa đổi Ocop'!A15</f>
        <v>5.1</v>
      </c>
      <c r="B16" s="194" t="str">
        <f>+'[1]Khung sửa đổi Ocop'!B15</f>
        <v>Các tổ chức, cá nhân trực tiếp sản xuất và tiêu thụ sản phẩm OCOP, được hỗ trợ một lần bằng 30% chi phí đầu tư xây dựng mới, mua sắm thiết bị cho kho, xưởng bảo quản, chế biến sản phẩm, nhưng không quá 1,5 tỷ đồng đối với kho, xưởng có thể tích chứa từ 1.</v>
      </c>
      <c r="C16" s="191">
        <v>11</v>
      </c>
      <c r="D16" s="191">
        <f>4*1000+7*300</f>
        <v>6100</v>
      </c>
      <c r="E16" s="191">
        <v>12</v>
      </c>
      <c r="F16" s="191">
        <f>4*1000+8*300</f>
        <v>6400</v>
      </c>
      <c r="G16" s="191">
        <f aca="true" t="shared" si="5" ref="G16:H18">+C16+E16</f>
        <v>23</v>
      </c>
      <c r="H16" s="191">
        <f t="shared" si="5"/>
        <v>12500</v>
      </c>
    </row>
    <row r="17" spans="1:9" s="186" customFormat="1" ht="54.75" customHeight="1">
      <c r="A17" s="189" t="str">
        <f>+'[1]Khung sửa đổi Ocop'!A16</f>
        <v>5.2</v>
      </c>
      <c r="B17" s="194" t="str">
        <f>+'[1]Khung sửa đổi Ocop'!B16</f>
        <v>Hỗ trợ 50% kinh phí xây dựng mô hình liên kết sản xuất với tiêu thụ sản phẩm, giữa doanh nghiệp và các tổ hợp tác, hợp tác xã tham gia OCOP, nhưng không quá 300 triệu đồng/mô hình.</v>
      </c>
      <c r="C17" s="191">
        <v>3</v>
      </c>
      <c r="D17" s="191">
        <f>+C17*250</f>
        <v>750</v>
      </c>
      <c r="E17" s="191">
        <v>3</v>
      </c>
      <c r="F17" s="191">
        <f>+E17*250</f>
        <v>750</v>
      </c>
      <c r="G17" s="191">
        <f t="shared" si="5"/>
        <v>6</v>
      </c>
      <c r="H17" s="191">
        <f t="shared" si="5"/>
        <v>1500</v>
      </c>
      <c r="I17" s="180"/>
    </row>
    <row r="18" spans="1:9" s="186" customFormat="1" ht="54.75" customHeight="1">
      <c r="A18" s="189" t="str">
        <f>+'[1]Khung sửa đổi Ocop'!A17</f>
        <v>5.3</v>
      </c>
      <c r="B18" s="194" t="s">
        <v>148</v>
      </c>
      <c r="C18" s="191">
        <v>12</v>
      </c>
      <c r="D18" s="191">
        <f>+C18*100</f>
        <v>1200</v>
      </c>
      <c r="E18" s="191">
        <v>12</v>
      </c>
      <c r="F18" s="191">
        <f>+E18*100</f>
        <v>1200</v>
      </c>
      <c r="G18" s="191">
        <f t="shared" si="5"/>
        <v>24</v>
      </c>
      <c r="H18" s="191">
        <f t="shared" si="5"/>
        <v>2400</v>
      </c>
      <c r="I18" s="180"/>
    </row>
    <row r="19" spans="1:8" s="186" customFormat="1" ht="35.25" customHeight="1">
      <c r="A19" s="187">
        <f>+'[1]Khung sửa đổi Ocop'!A18</f>
        <v>6</v>
      </c>
      <c r="B19" s="195" t="str">
        <f>+'[1]Khung sửa đổi Ocop'!B18</f>
        <v>Chính sách thưởng cho các tổ chức, cá nhân có sản phẩm đạt 3-5 sao của chương trình OCOP</v>
      </c>
      <c r="C19" s="185">
        <f aca="true" t="shared" si="6" ref="C19:H19">+C20</f>
        <v>30</v>
      </c>
      <c r="D19" s="185">
        <f t="shared" si="6"/>
        <v>1300</v>
      </c>
      <c r="E19" s="185">
        <f t="shared" si="6"/>
        <v>30</v>
      </c>
      <c r="F19" s="185">
        <f t="shared" si="6"/>
        <v>1400</v>
      </c>
      <c r="G19" s="185">
        <f t="shared" si="6"/>
        <v>60</v>
      </c>
      <c r="H19" s="185">
        <f t="shared" si="6"/>
        <v>2700</v>
      </c>
    </row>
    <row r="20" spans="1:8" ht="82.5" customHeight="1">
      <c r="A20" s="193" t="str">
        <f>+'[1]Khung sửa đổi Ocop'!A19</f>
        <v>-</v>
      </c>
      <c r="B20" s="196" t="str">
        <f>+'[1]Khung sửa đổi Ocop'!B19</f>
        <v>Các tổ chức, cá nhân có sản phẩm tham gia Chương trình OCOP đạt tiêu chuẩn: Hạng 5 sao thưởng 70 triệu đồng/sản phẩm, hạng 4 sao thưởng 50 triệu đồng/sản phẩm, hạng 3 sao thưởng 30 triệu đồng/sản phẩm. Mức thưởng 1 lần/sản phẩm cho mỗi tổ chức, cá nhân. </v>
      </c>
      <c r="C20" s="191">
        <v>30</v>
      </c>
      <c r="D20" s="191">
        <f>5*70+10*50+15*30</f>
        <v>1300</v>
      </c>
      <c r="E20" s="191">
        <v>30</v>
      </c>
      <c r="F20" s="191">
        <f>5*70+15*50+10*30</f>
        <v>1400</v>
      </c>
      <c r="G20" s="191">
        <f>+C20+E20</f>
        <v>60</v>
      </c>
      <c r="H20" s="191">
        <f>+D20+F20</f>
        <v>2700</v>
      </c>
    </row>
    <row r="22" ht="92.25" customHeight="1"/>
  </sheetData>
  <sheetProtection/>
  <mergeCells count="6">
    <mergeCell ref="A2:H2"/>
    <mergeCell ref="A4:A5"/>
    <mergeCell ref="B4:B5"/>
    <mergeCell ref="C4:D4"/>
    <mergeCell ref="E4:F4"/>
    <mergeCell ref="G4:H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V29"/>
  <sheetViews>
    <sheetView zoomScalePageLayoutView="0" workbookViewId="0" topLeftCell="A2">
      <selection activeCell="M11" sqref="M1:AC16384"/>
    </sheetView>
  </sheetViews>
  <sheetFormatPr defaultColWidth="9.00390625" defaultRowHeight="15.75"/>
  <cols>
    <col min="1" max="1" width="4.875" style="37" customWidth="1"/>
    <col min="2" max="2" width="42.875" style="168" customWidth="1"/>
    <col min="3" max="3" width="7.625" style="37" customWidth="1"/>
    <col min="4" max="4" width="7.50390625" style="37" customWidth="1"/>
    <col min="5" max="6" width="7.50390625" style="169" customWidth="1"/>
    <col min="7" max="9" width="7.50390625" style="37" customWidth="1"/>
    <col min="10" max="10" width="7.25390625" style="37" customWidth="1"/>
    <col min="11" max="12" width="7.50390625" style="37" customWidth="1"/>
    <col min="13" max="250" width="9.00390625" style="28" customWidth="1"/>
    <col min="251" max="251" width="2.50390625" style="28" customWidth="1"/>
    <col min="252" max="252" width="14.00390625" style="28" customWidth="1"/>
    <col min="253" max="253" width="4.50390625" style="28" customWidth="1"/>
    <col min="254" max="254" width="8.25390625" style="28" customWidth="1"/>
    <col min="255" max="255" width="5.00390625" style="28" customWidth="1"/>
    <col min="256" max="16384" width="9.00390625" style="28" customWidth="1"/>
  </cols>
  <sheetData>
    <row r="1" spans="2:3" ht="39" customHeight="1">
      <c r="B1" s="368" t="s">
        <v>162</v>
      </c>
      <c r="C1" s="368"/>
    </row>
    <row r="2" spans="1:12" ht="40.5" customHeight="1">
      <c r="A2" s="360" t="s">
        <v>7</v>
      </c>
      <c r="B2" s="360"/>
      <c r="C2" s="360"/>
      <c r="D2" s="360"/>
      <c r="E2" s="360"/>
      <c r="F2" s="360"/>
      <c r="G2" s="360"/>
      <c r="H2" s="360"/>
      <c r="I2" s="360"/>
      <c r="J2" s="360"/>
      <c r="K2" s="360"/>
      <c r="L2" s="360"/>
    </row>
    <row r="3" spans="1:12" ht="21" customHeight="1">
      <c r="A3" s="148"/>
      <c r="B3" s="360" t="s">
        <v>164</v>
      </c>
      <c r="C3" s="360"/>
      <c r="D3" s="360"/>
      <c r="E3" s="360"/>
      <c r="F3" s="360"/>
      <c r="G3" s="360"/>
      <c r="H3" s="360"/>
      <c r="I3" s="360"/>
      <c r="J3" s="360"/>
      <c r="K3" s="360"/>
      <c r="L3" s="148"/>
    </row>
    <row r="4" spans="1:12" ht="15.75">
      <c r="A4" s="217"/>
      <c r="B4" s="28"/>
      <c r="C4" s="149"/>
      <c r="D4" s="149"/>
      <c r="E4" s="149"/>
      <c r="F4" s="149"/>
      <c r="G4" s="149"/>
      <c r="H4" s="361" t="s">
        <v>1</v>
      </c>
      <c r="I4" s="361"/>
      <c r="J4" s="361"/>
      <c r="K4" s="361"/>
      <c r="L4" s="361"/>
    </row>
    <row r="5" spans="1:12" s="166" customFormat="1" ht="30.75" customHeight="1">
      <c r="A5" s="362" t="s">
        <v>0</v>
      </c>
      <c r="B5" s="362" t="s">
        <v>2</v>
      </c>
      <c r="C5" s="362" t="s">
        <v>36</v>
      </c>
      <c r="D5" s="362" t="s">
        <v>37</v>
      </c>
      <c r="E5" s="362" t="s">
        <v>3</v>
      </c>
      <c r="F5" s="362"/>
      <c r="G5" s="362" t="s">
        <v>4</v>
      </c>
      <c r="H5" s="362"/>
      <c r="I5" s="362" t="s">
        <v>5</v>
      </c>
      <c r="J5" s="362"/>
      <c r="K5" s="362" t="s">
        <v>126</v>
      </c>
      <c r="L5" s="362"/>
    </row>
    <row r="6" spans="1:12" s="166" customFormat="1" ht="63">
      <c r="A6" s="362"/>
      <c r="B6" s="362"/>
      <c r="C6" s="362"/>
      <c r="D6" s="362"/>
      <c r="E6" s="151" t="s">
        <v>38</v>
      </c>
      <c r="F6" s="152" t="s">
        <v>39</v>
      </c>
      <c r="G6" s="151" t="s">
        <v>38</v>
      </c>
      <c r="H6" s="152" t="s">
        <v>39</v>
      </c>
      <c r="I6" s="151" t="s">
        <v>38</v>
      </c>
      <c r="J6" s="152" t="s">
        <v>39</v>
      </c>
      <c r="K6" s="150" t="s">
        <v>38</v>
      </c>
      <c r="L6" s="150" t="s">
        <v>40</v>
      </c>
    </row>
    <row r="7" spans="1:13" s="166" customFormat="1" ht="15.75">
      <c r="A7" s="150"/>
      <c r="B7" s="150" t="s">
        <v>163</v>
      </c>
      <c r="C7" s="150"/>
      <c r="D7" s="150"/>
      <c r="E7" s="151"/>
      <c r="F7" s="152">
        <f>F8+F16</f>
        <v>11265</v>
      </c>
      <c r="G7" s="152"/>
      <c r="H7" s="152">
        <f>H8+H16</f>
        <v>12245</v>
      </c>
      <c r="I7" s="152"/>
      <c r="J7" s="152">
        <f>J8+J16</f>
        <v>12895</v>
      </c>
      <c r="K7" s="152"/>
      <c r="L7" s="152">
        <f>L8+L16</f>
        <v>36405</v>
      </c>
      <c r="M7" s="220"/>
    </row>
    <row r="8" spans="1:12" s="166" customFormat="1" ht="31.5">
      <c r="A8" s="150">
        <v>1</v>
      </c>
      <c r="B8" s="221" t="s">
        <v>165</v>
      </c>
      <c r="C8" s="150"/>
      <c r="D8" s="150"/>
      <c r="E8" s="151"/>
      <c r="F8" s="152">
        <f>F9+F12+F15</f>
        <v>6600</v>
      </c>
      <c r="G8" s="152"/>
      <c r="H8" s="152">
        <f>H9+H12+H15</f>
        <v>7550</v>
      </c>
      <c r="I8" s="152"/>
      <c r="J8" s="152">
        <f>J9+J12+J15</f>
        <v>8200</v>
      </c>
      <c r="K8" s="152"/>
      <c r="L8" s="152">
        <f>L9+L12+L15</f>
        <v>22350</v>
      </c>
    </row>
    <row r="9" spans="1:12" s="166" customFormat="1" ht="15.75">
      <c r="A9" s="150" t="s">
        <v>166</v>
      </c>
      <c r="B9" s="221" t="s">
        <v>167</v>
      </c>
      <c r="C9" s="150"/>
      <c r="D9" s="150"/>
      <c r="E9" s="151"/>
      <c r="F9" s="152">
        <f>F10+F11</f>
        <v>4500</v>
      </c>
      <c r="G9" s="152"/>
      <c r="H9" s="152">
        <f>H10+H11</f>
        <v>5300</v>
      </c>
      <c r="I9" s="152"/>
      <c r="J9" s="152">
        <f>J10+J11</f>
        <v>5300</v>
      </c>
      <c r="K9" s="152"/>
      <c r="L9" s="152">
        <f>L10+L11</f>
        <v>15100</v>
      </c>
    </row>
    <row r="10" spans="1:12" ht="15.75">
      <c r="A10" s="219" t="s">
        <v>168</v>
      </c>
      <c r="B10" s="222" t="s">
        <v>169</v>
      </c>
      <c r="C10" s="219" t="s">
        <v>170</v>
      </c>
      <c r="D10" s="219">
        <v>500</v>
      </c>
      <c r="E10" s="218">
        <v>5</v>
      </c>
      <c r="F10" s="255">
        <f>D10*E10</f>
        <v>2500</v>
      </c>
      <c r="G10" s="255">
        <v>5</v>
      </c>
      <c r="H10" s="255">
        <f>D10*E10</f>
        <v>2500</v>
      </c>
      <c r="I10" s="255">
        <v>5</v>
      </c>
      <c r="J10" s="255">
        <f>D10*I10</f>
        <v>2500</v>
      </c>
      <c r="K10" s="255">
        <f>E10+G10+I10</f>
        <v>15</v>
      </c>
      <c r="L10" s="255">
        <f>F10+H10+J10</f>
        <v>7500</v>
      </c>
    </row>
    <row r="11" spans="1:12" ht="15.75">
      <c r="A11" s="219" t="s">
        <v>171</v>
      </c>
      <c r="B11" s="222" t="s">
        <v>172</v>
      </c>
      <c r="C11" s="219" t="s">
        <v>170</v>
      </c>
      <c r="D11" s="219">
        <v>400</v>
      </c>
      <c r="E11" s="218">
        <v>5</v>
      </c>
      <c r="F11" s="255">
        <f>D11*E11</f>
        <v>2000</v>
      </c>
      <c r="G11" s="255">
        <v>7</v>
      </c>
      <c r="H11" s="255">
        <f>G11*D11</f>
        <v>2800</v>
      </c>
      <c r="I11" s="255">
        <v>7</v>
      </c>
      <c r="J11" s="255">
        <f>I11*D11</f>
        <v>2800</v>
      </c>
      <c r="K11" s="255">
        <f>E11+G11+I11</f>
        <v>19</v>
      </c>
      <c r="L11" s="255">
        <f>F11+H11+J11</f>
        <v>7600</v>
      </c>
    </row>
    <row r="12" spans="1:12" s="166" customFormat="1" ht="31.5">
      <c r="A12" s="219" t="s">
        <v>173</v>
      </c>
      <c r="B12" s="222" t="s">
        <v>174</v>
      </c>
      <c r="C12" s="150"/>
      <c r="D12" s="150"/>
      <c r="E12" s="151"/>
      <c r="F12" s="152">
        <f>F13+F14</f>
        <v>2000</v>
      </c>
      <c r="G12" s="152"/>
      <c r="H12" s="152">
        <f>H13+H14</f>
        <v>2150</v>
      </c>
      <c r="I12" s="152"/>
      <c r="J12" s="152">
        <f>J13+J14</f>
        <v>2800</v>
      </c>
      <c r="K12" s="152"/>
      <c r="L12" s="152">
        <f>L13+L14</f>
        <v>6950</v>
      </c>
    </row>
    <row r="13" spans="1:12" ht="31.5">
      <c r="A13" s="219" t="s">
        <v>168</v>
      </c>
      <c r="B13" s="222" t="s">
        <v>175</v>
      </c>
      <c r="C13" s="219" t="s">
        <v>176</v>
      </c>
      <c r="D13" s="219">
        <v>200</v>
      </c>
      <c r="E13" s="218">
        <v>7</v>
      </c>
      <c r="F13" s="255">
        <f>D13*E13</f>
        <v>1400</v>
      </c>
      <c r="G13" s="255">
        <v>7</v>
      </c>
      <c r="H13" s="255">
        <f>G13*D13</f>
        <v>1400</v>
      </c>
      <c r="I13" s="255">
        <v>10</v>
      </c>
      <c r="J13" s="255">
        <f>I13*D13</f>
        <v>2000</v>
      </c>
      <c r="K13" s="255">
        <f aca="true" t="shared" si="0" ref="K13:L15">E13+G13+I13</f>
        <v>24</v>
      </c>
      <c r="L13" s="255">
        <f t="shared" si="0"/>
        <v>4800</v>
      </c>
    </row>
    <row r="14" spans="1:12" ht="31.5">
      <c r="A14" s="219" t="s">
        <v>171</v>
      </c>
      <c r="B14" s="222" t="s">
        <v>177</v>
      </c>
      <c r="C14" s="219" t="s">
        <v>178</v>
      </c>
      <c r="D14" s="219">
        <v>50</v>
      </c>
      <c r="E14" s="218">
        <v>12</v>
      </c>
      <c r="F14" s="255">
        <f>D14*E14</f>
        <v>600</v>
      </c>
      <c r="G14" s="255">
        <v>15</v>
      </c>
      <c r="H14" s="255">
        <f>G14*D14</f>
        <v>750</v>
      </c>
      <c r="I14" s="255">
        <v>16</v>
      </c>
      <c r="J14" s="255">
        <f>I14*D14</f>
        <v>800</v>
      </c>
      <c r="K14" s="255">
        <f t="shared" si="0"/>
        <v>43</v>
      </c>
      <c r="L14" s="255">
        <f t="shared" si="0"/>
        <v>2150</v>
      </c>
    </row>
    <row r="15" spans="1:12" s="166" customFormat="1" ht="63">
      <c r="A15" s="219" t="s">
        <v>179</v>
      </c>
      <c r="B15" s="222" t="s">
        <v>180</v>
      </c>
      <c r="C15" s="150" t="s">
        <v>181</v>
      </c>
      <c r="D15" s="150">
        <v>2</v>
      </c>
      <c r="E15" s="151">
        <v>50</v>
      </c>
      <c r="F15" s="152">
        <v>100</v>
      </c>
      <c r="G15" s="152">
        <v>50</v>
      </c>
      <c r="H15" s="152">
        <v>100</v>
      </c>
      <c r="I15" s="152">
        <v>50</v>
      </c>
      <c r="J15" s="152">
        <v>100</v>
      </c>
      <c r="K15" s="152">
        <f t="shared" si="0"/>
        <v>150</v>
      </c>
      <c r="L15" s="152">
        <f t="shared" si="0"/>
        <v>300</v>
      </c>
    </row>
    <row r="16" spans="1:23" s="166" customFormat="1" ht="42.75">
      <c r="A16" s="150" t="s">
        <v>182</v>
      </c>
      <c r="B16" s="117" t="s">
        <v>183</v>
      </c>
      <c r="C16" s="150"/>
      <c r="D16" s="150"/>
      <c r="E16" s="151"/>
      <c r="F16" s="152">
        <f>F24+F27+F17+F18+F19+F20+F28</f>
        <v>4665</v>
      </c>
      <c r="G16" s="152">
        <f aca="true" t="shared" si="1" ref="G16:L16">G24+G27+G17+G18+G19+G20+G28</f>
        <v>222</v>
      </c>
      <c r="H16" s="152">
        <f t="shared" si="1"/>
        <v>4695</v>
      </c>
      <c r="I16" s="152">
        <f t="shared" si="1"/>
        <v>222</v>
      </c>
      <c r="J16" s="152">
        <f t="shared" si="1"/>
        <v>4695</v>
      </c>
      <c r="K16" s="152">
        <f t="shared" si="1"/>
        <v>65</v>
      </c>
      <c r="L16" s="152">
        <f t="shared" si="1"/>
        <v>14055</v>
      </c>
      <c r="M16" s="220"/>
      <c r="N16" s="220"/>
      <c r="O16" s="220"/>
      <c r="P16" s="220"/>
      <c r="Q16" s="220"/>
      <c r="R16" s="220"/>
      <c r="S16" s="220"/>
      <c r="T16" s="220"/>
      <c r="U16" s="220"/>
      <c r="V16" s="220"/>
      <c r="W16" s="220"/>
    </row>
    <row r="17" spans="1:256" ht="128.25" customHeight="1">
      <c r="A17" s="135" t="s">
        <v>184</v>
      </c>
      <c r="B17" s="222" t="s">
        <v>224</v>
      </c>
      <c r="C17" s="219" t="s">
        <v>185</v>
      </c>
      <c r="D17" s="160">
        <v>30</v>
      </c>
      <c r="E17" s="157">
        <v>5</v>
      </c>
      <c r="F17" s="255">
        <f>D17*E17</f>
        <v>150</v>
      </c>
      <c r="G17" s="157">
        <v>5</v>
      </c>
      <c r="H17" s="255">
        <f>G17*D17</f>
        <v>150</v>
      </c>
      <c r="I17" s="157">
        <v>5</v>
      </c>
      <c r="J17" s="255">
        <f>I17*D17</f>
        <v>150</v>
      </c>
      <c r="K17" s="255">
        <f>E17+G17+I17</f>
        <v>15</v>
      </c>
      <c r="L17" s="255">
        <f>K17*D17</f>
        <v>450</v>
      </c>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c r="IU17" s="174"/>
      <c r="IV17" s="174"/>
    </row>
    <row r="18" spans="1:256" ht="150">
      <c r="A18" s="135" t="s">
        <v>186</v>
      </c>
      <c r="B18" s="82" t="s">
        <v>225</v>
      </c>
      <c r="C18" s="223" t="s">
        <v>187</v>
      </c>
      <c r="D18" s="160">
        <v>200</v>
      </c>
      <c r="E18" s="224">
        <v>2</v>
      </c>
      <c r="F18" s="255">
        <f>D18*E18</f>
        <v>400</v>
      </c>
      <c r="G18" s="224">
        <v>2</v>
      </c>
      <c r="H18" s="255">
        <f>G18*D18</f>
        <v>400</v>
      </c>
      <c r="I18" s="224">
        <v>2</v>
      </c>
      <c r="J18" s="255">
        <f>I18*D18</f>
        <v>400</v>
      </c>
      <c r="K18" s="255">
        <f>E18+G18+I18</f>
        <v>6</v>
      </c>
      <c r="L18" s="255">
        <f>K18*D18</f>
        <v>1200</v>
      </c>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c r="IU18" s="174"/>
      <c r="IV18" s="174"/>
    </row>
    <row r="19" spans="1:256" ht="90">
      <c r="A19" s="135" t="s">
        <v>188</v>
      </c>
      <c r="B19" s="82" t="s">
        <v>226</v>
      </c>
      <c r="C19" s="223" t="s">
        <v>187</v>
      </c>
      <c r="D19" s="160">
        <v>150</v>
      </c>
      <c r="E19" s="224">
        <v>5</v>
      </c>
      <c r="F19" s="255">
        <f>D19*E19</f>
        <v>750</v>
      </c>
      <c r="G19" s="224">
        <v>5</v>
      </c>
      <c r="H19" s="255">
        <f>G19*D19</f>
        <v>750</v>
      </c>
      <c r="I19" s="224">
        <v>5</v>
      </c>
      <c r="J19" s="255">
        <f>I19*D19</f>
        <v>750</v>
      </c>
      <c r="K19" s="255">
        <f>E19+G19+I19</f>
        <v>15</v>
      </c>
      <c r="L19" s="255">
        <f>K19*D19</f>
        <v>2250</v>
      </c>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c r="IR19" s="174"/>
      <c r="IS19" s="174"/>
      <c r="IT19" s="174"/>
      <c r="IU19" s="174"/>
      <c r="IV19" s="174"/>
    </row>
    <row r="20" spans="1:256" ht="47.25">
      <c r="A20" s="135" t="s">
        <v>189</v>
      </c>
      <c r="B20" s="82" t="s">
        <v>190</v>
      </c>
      <c r="C20" s="223" t="s">
        <v>187</v>
      </c>
      <c r="D20" s="160">
        <f>D21+D22+D23</f>
        <v>580</v>
      </c>
      <c r="E20" s="160">
        <f aca="true" t="shared" si="2" ref="E20:L20">E21+E22+E23</f>
        <v>8</v>
      </c>
      <c r="F20" s="177">
        <f t="shared" si="2"/>
        <v>970</v>
      </c>
      <c r="G20" s="160">
        <f t="shared" si="2"/>
        <v>9</v>
      </c>
      <c r="H20" s="177">
        <f t="shared" si="2"/>
        <v>1000</v>
      </c>
      <c r="I20" s="160">
        <f t="shared" si="2"/>
        <v>9</v>
      </c>
      <c r="J20" s="177">
        <f t="shared" si="2"/>
        <v>1000</v>
      </c>
      <c r="K20" s="160">
        <f t="shared" si="2"/>
        <v>26</v>
      </c>
      <c r="L20" s="177">
        <f t="shared" si="2"/>
        <v>2970</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c r="IR20" s="174"/>
      <c r="IS20" s="174"/>
      <c r="IT20" s="174"/>
      <c r="IU20" s="174"/>
      <c r="IV20" s="174"/>
    </row>
    <row r="21" spans="1:256" ht="120">
      <c r="A21" s="135" t="s">
        <v>168</v>
      </c>
      <c r="B21" s="256" t="s">
        <v>191</v>
      </c>
      <c r="C21" s="223" t="s">
        <v>187</v>
      </c>
      <c r="D21" s="160">
        <v>400</v>
      </c>
      <c r="E21" s="160">
        <v>1</v>
      </c>
      <c r="F21" s="160">
        <v>400</v>
      </c>
      <c r="G21" s="160">
        <v>1</v>
      </c>
      <c r="H21" s="160">
        <v>400</v>
      </c>
      <c r="I21" s="160">
        <v>1</v>
      </c>
      <c r="J21" s="160">
        <v>400</v>
      </c>
      <c r="K21" s="177">
        <f>E21+G21+I21</f>
        <v>3</v>
      </c>
      <c r="L21" s="177">
        <f>F21+H21+J21</f>
        <v>1200</v>
      </c>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c r="IF21" s="174"/>
      <c r="IG21" s="174"/>
      <c r="IH21" s="174"/>
      <c r="II21" s="174"/>
      <c r="IJ21" s="174"/>
      <c r="IK21" s="174"/>
      <c r="IL21" s="174"/>
      <c r="IM21" s="174"/>
      <c r="IN21" s="174"/>
      <c r="IO21" s="174"/>
      <c r="IP21" s="174"/>
      <c r="IQ21" s="174"/>
      <c r="IR21" s="174"/>
      <c r="IS21" s="174"/>
      <c r="IT21" s="174"/>
      <c r="IU21" s="174"/>
      <c r="IV21" s="174"/>
    </row>
    <row r="22" spans="1:256" ht="165">
      <c r="A22" s="135" t="s">
        <v>171</v>
      </c>
      <c r="B22" s="256" t="s">
        <v>192</v>
      </c>
      <c r="C22" s="223" t="s">
        <v>187</v>
      </c>
      <c r="D22" s="160">
        <v>150</v>
      </c>
      <c r="E22" s="224">
        <v>3</v>
      </c>
      <c r="F22" s="255">
        <f>D22*E22</f>
        <v>450</v>
      </c>
      <c r="G22" s="225">
        <v>3</v>
      </c>
      <c r="H22" s="255">
        <f>G22*D22</f>
        <v>450</v>
      </c>
      <c r="I22" s="225">
        <v>3</v>
      </c>
      <c r="J22" s="255">
        <f>I22*D22</f>
        <v>450</v>
      </c>
      <c r="K22" s="255">
        <f>E22+G22+I22</f>
        <v>9</v>
      </c>
      <c r="L22" s="157">
        <f>K22*D22</f>
        <v>1350</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c r="IO22" s="174"/>
      <c r="IP22" s="174"/>
      <c r="IQ22" s="174"/>
      <c r="IR22" s="174"/>
      <c r="IS22" s="174"/>
      <c r="IT22" s="174"/>
      <c r="IU22" s="174"/>
      <c r="IV22" s="174"/>
    </row>
    <row r="23" spans="1:256" ht="135.75" customHeight="1">
      <c r="A23" s="135" t="s">
        <v>93</v>
      </c>
      <c r="B23" s="82" t="s">
        <v>193</v>
      </c>
      <c r="C23" s="223" t="s">
        <v>187</v>
      </c>
      <c r="D23" s="160">
        <v>30</v>
      </c>
      <c r="E23" s="224">
        <v>4</v>
      </c>
      <c r="F23" s="255">
        <f>D23*E23</f>
        <v>120</v>
      </c>
      <c r="G23" s="225">
        <v>5</v>
      </c>
      <c r="H23" s="255">
        <f>G23*D23</f>
        <v>150</v>
      </c>
      <c r="I23" s="225">
        <v>5</v>
      </c>
      <c r="J23" s="255">
        <f>I23*D23</f>
        <v>150</v>
      </c>
      <c r="K23" s="255">
        <f>E23+G23+I23</f>
        <v>14</v>
      </c>
      <c r="L23" s="157">
        <f>K23*D23</f>
        <v>420</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c r="IO23" s="174"/>
      <c r="IP23" s="174"/>
      <c r="IQ23" s="174"/>
      <c r="IR23" s="174"/>
      <c r="IS23" s="174"/>
      <c r="IT23" s="174"/>
      <c r="IU23" s="174"/>
      <c r="IV23" s="174"/>
    </row>
    <row r="24" spans="1:256" ht="93" customHeight="1">
      <c r="A24" s="135" t="s">
        <v>194</v>
      </c>
      <c r="B24" s="82" t="s">
        <v>195</v>
      </c>
      <c r="C24" s="219" t="s">
        <v>187</v>
      </c>
      <c r="D24" s="219"/>
      <c r="E24" s="160"/>
      <c r="F24" s="255">
        <f>F25+F26</f>
        <v>395</v>
      </c>
      <c r="G24" s="255"/>
      <c r="H24" s="255">
        <f>H25+H26</f>
        <v>395</v>
      </c>
      <c r="I24" s="255"/>
      <c r="J24" s="255">
        <f>J25+J26</f>
        <v>395</v>
      </c>
      <c r="K24" s="255"/>
      <c r="L24" s="255">
        <f>L25+L26</f>
        <v>1185</v>
      </c>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c r="IR24" s="174"/>
      <c r="IS24" s="174"/>
      <c r="IT24" s="174"/>
      <c r="IU24" s="174"/>
      <c r="IV24" s="174"/>
    </row>
    <row r="25" spans="1:256" ht="105" customHeight="1">
      <c r="A25" s="135" t="s">
        <v>168</v>
      </c>
      <c r="B25" s="82" t="s">
        <v>196</v>
      </c>
      <c r="C25" s="219" t="s">
        <v>187</v>
      </c>
      <c r="D25" s="219">
        <v>27</v>
      </c>
      <c r="E25" s="160">
        <v>10</v>
      </c>
      <c r="F25" s="255">
        <f>D25*E25</f>
        <v>270</v>
      </c>
      <c r="G25" s="160">
        <v>10</v>
      </c>
      <c r="H25" s="255">
        <f>D25*G25</f>
        <v>270</v>
      </c>
      <c r="I25" s="177">
        <v>10</v>
      </c>
      <c r="J25" s="255">
        <f>I25*D25</f>
        <v>270</v>
      </c>
      <c r="K25" s="255">
        <f>E25+G25+I25</f>
        <v>30</v>
      </c>
      <c r="L25" s="255">
        <f>K25*D25</f>
        <v>810</v>
      </c>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c r="IR25" s="174"/>
      <c r="IS25" s="174"/>
      <c r="IT25" s="174"/>
      <c r="IU25" s="174"/>
      <c r="IV25" s="174"/>
    </row>
    <row r="26" spans="1:256" ht="99.75" customHeight="1">
      <c r="A26" s="135" t="s">
        <v>171</v>
      </c>
      <c r="B26" s="82" t="s">
        <v>197</v>
      </c>
      <c r="C26" s="219" t="s">
        <v>187</v>
      </c>
      <c r="D26" s="219">
        <v>25</v>
      </c>
      <c r="E26" s="160">
        <v>5</v>
      </c>
      <c r="F26" s="255">
        <f>D26*E26</f>
        <v>125</v>
      </c>
      <c r="G26" s="160">
        <v>5</v>
      </c>
      <c r="H26" s="255">
        <f>G26*D26</f>
        <v>125</v>
      </c>
      <c r="I26" s="160">
        <v>5</v>
      </c>
      <c r="J26" s="255">
        <f>I26*D26</f>
        <v>125</v>
      </c>
      <c r="K26" s="255">
        <f>E26+G26+I26</f>
        <v>15</v>
      </c>
      <c r="L26" s="255">
        <f>K26*D26</f>
        <v>375</v>
      </c>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c r="IO26" s="174"/>
      <c r="IP26" s="174"/>
      <c r="IQ26" s="174"/>
      <c r="IR26" s="174"/>
      <c r="IS26" s="174"/>
      <c r="IT26" s="174"/>
      <c r="IU26" s="174"/>
      <c r="IV26" s="174"/>
    </row>
    <row r="27" spans="1:256" ht="47.25">
      <c r="A27" s="135" t="s">
        <v>198</v>
      </c>
      <c r="B27" s="82" t="s">
        <v>199</v>
      </c>
      <c r="C27" s="219" t="s">
        <v>187</v>
      </c>
      <c r="D27" s="219">
        <v>0</v>
      </c>
      <c r="E27" s="160">
        <v>200</v>
      </c>
      <c r="F27" s="160">
        <f>D27*E27</f>
        <v>0</v>
      </c>
      <c r="G27" s="160">
        <v>200</v>
      </c>
      <c r="H27" s="160"/>
      <c r="I27" s="160">
        <v>200</v>
      </c>
      <c r="J27" s="160"/>
      <c r="K27" s="157"/>
      <c r="L27" s="157"/>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4"/>
      <c r="FQ27" s="174"/>
      <c r="FR27" s="174"/>
      <c r="FS27" s="174"/>
      <c r="FT27" s="174"/>
      <c r="FU27" s="174"/>
      <c r="FV27" s="174"/>
      <c r="FW27" s="174"/>
      <c r="FX27" s="174"/>
      <c r="FY27" s="174"/>
      <c r="FZ27" s="174"/>
      <c r="GA27" s="174"/>
      <c r="GB27" s="174"/>
      <c r="GC27" s="174"/>
      <c r="GD27" s="174"/>
      <c r="GE27" s="174"/>
      <c r="GF27" s="174"/>
      <c r="GG27" s="174"/>
      <c r="GH27" s="174"/>
      <c r="GI27" s="174"/>
      <c r="GJ27" s="174"/>
      <c r="GK27" s="174"/>
      <c r="GL27" s="174"/>
      <c r="GM27" s="174"/>
      <c r="GN27" s="174"/>
      <c r="GO27" s="174"/>
      <c r="GP27" s="174"/>
      <c r="GQ27" s="174"/>
      <c r="GR27" s="174"/>
      <c r="GS27" s="174"/>
      <c r="GT27" s="174"/>
      <c r="GU27" s="174"/>
      <c r="GV27" s="174"/>
      <c r="GW27" s="174"/>
      <c r="GX27" s="174"/>
      <c r="GY27" s="174"/>
      <c r="GZ27" s="174"/>
      <c r="HA27" s="174"/>
      <c r="HB27" s="174"/>
      <c r="HC27" s="174"/>
      <c r="HD27" s="174"/>
      <c r="HE27" s="174"/>
      <c r="HF27" s="174"/>
      <c r="HG27" s="174"/>
      <c r="HH27" s="174"/>
      <c r="HI27" s="174"/>
      <c r="HJ27" s="174"/>
      <c r="HK27" s="174"/>
      <c r="HL27" s="174"/>
      <c r="HM27" s="174"/>
      <c r="HN27" s="174"/>
      <c r="HO27" s="174"/>
      <c r="HP27" s="174"/>
      <c r="HQ27" s="174"/>
      <c r="HR27" s="174"/>
      <c r="HS27" s="174"/>
      <c r="HT27" s="174"/>
      <c r="HU27" s="174"/>
      <c r="HV27" s="174"/>
      <c r="HW27" s="174"/>
      <c r="HX27" s="174"/>
      <c r="HY27" s="174"/>
      <c r="HZ27" s="174"/>
      <c r="IA27" s="174"/>
      <c r="IB27" s="174"/>
      <c r="IC27" s="174"/>
      <c r="ID27" s="174"/>
      <c r="IE27" s="174"/>
      <c r="IF27" s="174"/>
      <c r="IG27" s="174"/>
      <c r="IH27" s="174"/>
      <c r="II27" s="174"/>
      <c r="IJ27" s="174"/>
      <c r="IK27" s="174"/>
      <c r="IL27" s="174"/>
      <c r="IM27" s="174"/>
      <c r="IN27" s="174"/>
      <c r="IO27" s="174"/>
      <c r="IP27" s="174"/>
      <c r="IQ27" s="174"/>
      <c r="IR27" s="174"/>
      <c r="IS27" s="174"/>
      <c r="IT27" s="174"/>
      <c r="IU27" s="174"/>
      <c r="IV27" s="174"/>
    </row>
    <row r="28" spans="1:12" ht="90">
      <c r="A28" s="154" t="s">
        <v>200</v>
      </c>
      <c r="B28" s="82" t="s">
        <v>201</v>
      </c>
      <c r="C28" s="223" t="s">
        <v>187</v>
      </c>
      <c r="D28" s="157">
        <v>2000</v>
      </c>
      <c r="E28" s="157">
        <v>1</v>
      </c>
      <c r="F28" s="157">
        <f>D28*E28</f>
        <v>2000</v>
      </c>
      <c r="G28" s="157">
        <v>1</v>
      </c>
      <c r="H28" s="157">
        <f>G28*D28</f>
        <v>2000</v>
      </c>
      <c r="I28" s="157">
        <v>1</v>
      </c>
      <c r="J28" s="157">
        <f>I28*D28</f>
        <v>2000</v>
      </c>
      <c r="K28" s="157">
        <f>E28+G28+I28</f>
        <v>3</v>
      </c>
      <c r="L28" s="157">
        <f>K28*D28</f>
        <v>6000</v>
      </c>
    </row>
    <row r="29" spans="2:3" ht="15.75">
      <c r="B29" s="28"/>
      <c r="C29" s="28"/>
    </row>
  </sheetData>
  <sheetProtection/>
  <mergeCells count="12">
    <mergeCell ref="B1:C1"/>
    <mergeCell ref="A2:L2"/>
    <mergeCell ref="H4:L4"/>
    <mergeCell ref="A5:A6"/>
    <mergeCell ref="B5:B6"/>
    <mergeCell ref="B3:K3"/>
    <mergeCell ref="C5:C6"/>
    <mergeCell ref="D5:D6"/>
    <mergeCell ref="E5:F5"/>
    <mergeCell ref="G5:H5"/>
    <mergeCell ref="I5:J5"/>
    <mergeCell ref="K5: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T22"/>
  <sheetViews>
    <sheetView zoomScalePageLayoutView="0" workbookViewId="0" topLeftCell="A10">
      <selection activeCell="G23" sqref="G23"/>
    </sheetView>
  </sheetViews>
  <sheetFormatPr defaultColWidth="5.00390625" defaultRowHeight="15.75"/>
  <cols>
    <col min="1" max="1" width="3.25390625" style="167" customWidth="1"/>
    <col min="2" max="2" width="30.00390625" style="168" customWidth="1"/>
    <col min="3" max="3" width="9.625" style="37" customWidth="1"/>
    <col min="4" max="4" width="10.375" style="169" customWidth="1"/>
    <col min="5" max="5" width="12.875" style="169" customWidth="1"/>
    <col min="6" max="6" width="9.875" style="37" customWidth="1"/>
    <col min="7" max="7" width="8.75390625" style="37" customWidth="1"/>
    <col min="8" max="8" width="10.00390625" style="37" customWidth="1"/>
    <col min="9" max="9" width="10.75390625" style="37" customWidth="1"/>
    <col min="10" max="10" width="13.75390625" style="167" customWidth="1"/>
    <col min="11" max="11" width="11.875" style="167" customWidth="1"/>
    <col min="12" max="12" width="6.00390625" style="28" customWidth="1"/>
    <col min="13" max="249" width="9.00390625" style="28" customWidth="1"/>
    <col min="250" max="250" width="2.50390625" style="28" customWidth="1"/>
    <col min="251" max="251" width="14.00390625" style="28" customWidth="1"/>
    <col min="252" max="252" width="4.50390625" style="28" customWidth="1"/>
    <col min="253" max="253" width="8.25390625" style="28" customWidth="1"/>
    <col min="254" max="16384" width="5.00390625" style="28" customWidth="1"/>
  </cols>
  <sheetData>
    <row r="1" spans="1:11" ht="15.75">
      <c r="A1" s="369" t="s">
        <v>202</v>
      </c>
      <c r="B1" s="369"/>
      <c r="C1" s="369"/>
      <c r="D1" s="369"/>
      <c r="E1" s="370"/>
      <c r="F1" s="370"/>
      <c r="G1" s="370"/>
      <c r="H1" s="370"/>
      <c r="I1" s="370"/>
      <c r="J1" s="370"/>
      <c r="K1" s="370"/>
    </row>
    <row r="2" spans="1:11" ht="12.75" customHeight="1">
      <c r="A2" s="371" t="s">
        <v>203</v>
      </c>
      <c r="B2" s="371"/>
      <c r="C2" s="371"/>
      <c r="D2" s="371"/>
      <c r="E2" s="372"/>
      <c r="F2" s="372"/>
      <c r="G2" s="372"/>
      <c r="H2" s="372"/>
      <c r="I2" s="372"/>
      <c r="J2" s="372"/>
      <c r="K2" s="372"/>
    </row>
    <row r="3" spans="1:3" ht="6.75" customHeight="1">
      <c r="A3" s="229"/>
      <c r="B3" s="229"/>
      <c r="C3" s="229"/>
    </row>
    <row r="4" spans="1:11" ht="35.25" customHeight="1">
      <c r="A4" s="360" t="s">
        <v>7</v>
      </c>
      <c r="B4" s="360"/>
      <c r="C4" s="360"/>
      <c r="D4" s="360"/>
      <c r="E4" s="360"/>
      <c r="F4" s="360"/>
      <c r="G4" s="360"/>
      <c r="H4" s="360"/>
      <c r="I4" s="360"/>
      <c r="J4" s="360"/>
      <c r="K4" s="360"/>
    </row>
    <row r="5" spans="1:11" ht="15.75">
      <c r="A5" s="148"/>
      <c r="B5" s="28"/>
      <c r="C5" s="149"/>
      <c r="D5" s="149"/>
      <c r="E5" s="149"/>
      <c r="F5" s="149"/>
      <c r="G5" s="373" t="s">
        <v>204</v>
      </c>
      <c r="H5" s="373"/>
      <c r="I5" s="373"/>
      <c r="J5" s="373"/>
      <c r="K5" s="373"/>
    </row>
    <row r="6" spans="1:11" ht="31.5" customHeight="1">
      <c r="A6" s="362" t="s">
        <v>0</v>
      </c>
      <c r="B6" s="362" t="s">
        <v>2</v>
      </c>
      <c r="C6" s="362" t="s">
        <v>205</v>
      </c>
      <c r="D6" s="363" t="s">
        <v>3</v>
      </c>
      <c r="E6" s="364"/>
      <c r="F6" s="363" t="s">
        <v>4</v>
      </c>
      <c r="G6" s="364"/>
      <c r="H6" s="363" t="s">
        <v>5</v>
      </c>
      <c r="I6" s="364"/>
      <c r="J6" s="363" t="s">
        <v>126</v>
      </c>
      <c r="K6" s="364"/>
    </row>
    <row r="7" spans="1:11" ht="47.25">
      <c r="A7" s="362"/>
      <c r="B7" s="362"/>
      <c r="C7" s="362"/>
      <c r="D7" s="151" t="s">
        <v>206</v>
      </c>
      <c r="E7" s="152" t="s">
        <v>207</v>
      </c>
      <c r="F7" s="151" t="s">
        <v>206</v>
      </c>
      <c r="G7" s="152" t="s">
        <v>39</v>
      </c>
      <c r="H7" s="151" t="s">
        <v>206</v>
      </c>
      <c r="I7" s="152" t="s">
        <v>39</v>
      </c>
      <c r="J7" s="151" t="s">
        <v>206</v>
      </c>
      <c r="K7" s="150" t="s">
        <v>40</v>
      </c>
    </row>
    <row r="8" spans="1:13" ht="15.75">
      <c r="A8" s="150"/>
      <c r="B8" s="150" t="s">
        <v>208</v>
      </c>
      <c r="C8" s="150"/>
      <c r="D8" s="230">
        <f>SUM(D9:D12)</f>
        <v>2410.56</v>
      </c>
      <c r="E8" s="231">
        <f aca="true" t="shared" si="0" ref="E8:K8">SUM(E9:E12)</f>
        <v>45.05716799999999</v>
      </c>
      <c r="F8" s="230">
        <f t="shared" si="0"/>
        <v>3013.2</v>
      </c>
      <c r="G8" s="231">
        <f t="shared" si="0"/>
        <v>55.308959999999985</v>
      </c>
      <c r="H8" s="230">
        <f t="shared" si="0"/>
        <v>3706.2359999999994</v>
      </c>
      <c r="I8" s="231">
        <f t="shared" si="0"/>
        <v>68.03002079999999</v>
      </c>
      <c r="J8" s="230">
        <f t="shared" si="0"/>
        <v>9129.996</v>
      </c>
      <c r="K8" s="231">
        <f t="shared" si="0"/>
        <v>168.3961488</v>
      </c>
      <c r="M8" s="232"/>
    </row>
    <row r="9" spans="1:254" ht="53.25" customHeight="1">
      <c r="A9" s="163">
        <v>1</v>
      </c>
      <c r="B9" s="222" t="s">
        <v>209</v>
      </c>
      <c r="C9" s="223">
        <v>0.3</v>
      </c>
      <c r="D9" s="233"/>
      <c r="E9" s="234">
        <f>C9*0.1*27</f>
        <v>0.8099999999999999</v>
      </c>
      <c r="F9" s="173"/>
      <c r="G9" s="234"/>
      <c r="H9" s="173"/>
      <c r="I9" s="234"/>
      <c r="J9" s="173"/>
      <c r="K9" s="234">
        <f>E9</f>
        <v>0.8099999999999999</v>
      </c>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c r="IO9" s="235"/>
      <c r="IP9" s="235"/>
      <c r="IQ9" s="235"/>
      <c r="IR9" s="235"/>
      <c r="IS9" s="235"/>
      <c r="IT9" s="235"/>
    </row>
    <row r="10" spans="1:254" ht="34.5" customHeight="1">
      <c r="A10" s="163">
        <v>2</v>
      </c>
      <c r="B10" s="236" t="s">
        <v>210</v>
      </c>
      <c r="C10" s="223">
        <v>0.3</v>
      </c>
      <c r="D10" s="176">
        <f>72000*0.62*0.7*0.06</f>
        <v>1874.8799999999997</v>
      </c>
      <c r="E10" s="237">
        <f>D10*0.073*C10*8/12</f>
        <v>27.373247999999993</v>
      </c>
      <c r="F10" s="176">
        <f>D10*1.25</f>
        <v>2343.5999999999995</v>
      </c>
      <c r="G10" s="237">
        <f>F10*C10*0.073*8/12</f>
        <v>34.21655999999999</v>
      </c>
      <c r="H10" s="176">
        <f>F10*1.23</f>
        <v>2882.6279999999992</v>
      </c>
      <c r="I10" s="237">
        <f>H10*C10*0.073*8/12</f>
        <v>42.08636879999999</v>
      </c>
      <c r="J10" s="176">
        <f aca="true" t="shared" si="1" ref="J10:K12">D10+F10+H10</f>
        <v>7101.107999999998</v>
      </c>
      <c r="K10" s="237">
        <f t="shared" si="1"/>
        <v>103.67617679999996</v>
      </c>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c r="II10" s="235"/>
      <c r="IJ10" s="235"/>
      <c r="IK10" s="235"/>
      <c r="IL10" s="235"/>
      <c r="IM10" s="235"/>
      <c r="IN10" s="235"/>
      <c r="IO10" s="235"/>
      <c r="IP10" s="235"/>
      <c r="IQ10" s="235"/>
      <c r="IR10" s="235"/>
      <c r="IS10" s="235"/>
      <c r="IT10" s="235"/>
    </row>
    <row r="11" spans="1:11" ht="26.25" customHeight="1">
      <c r="A11" s="163">
        <v>3</v>
      </c>
      <c r="B11" s="238" t="s">
        <v>211</v>
      </c>
      <c r="C11" s="223">
        <v>0.3</v>
      </c>
      <c r="D11" s="239">
        <f>72000*0.62*0.3*0.02</f>
        <v>267.84000000000003</v>
      </c>
      <c r="E11" s="240">
        <f>D11*C11*0.105</f>
        <v>8.436960000000001</v>
      </c>
      <c r="F11" s="176">
        <f>D11*1.25</f>
        <v>334.80000000000007</v>
      </c>
      <c r="G11" s="237">
        <f>F11*C11*0.105</f>
        <v>10.5462</v>
      </c>
      <c r="H11" s="176">
        <f>F11*1.23</f>
        <v>411.8040000000001</v>
      </c>
      <c r="I11" s="237">
        <f>H11*C11*0.105</f>
        <v>12.971826000000002</v>
      </c>
      <c r="J11" s="176">
        <f t="shared" si="1"/>
        <v>1014.4440000000002</v>
      </c>
      <c r="K11" s="240">
        <f t="shared" si="1"/>
        <v>31.954986000000005</v>
      </c>
    </row>
    <row r="12" spans="1:11" ht="26.25" customHeight="1">
      <c r="A12" s="163">
        <v>4</v>
      </c>
      <c r="B12" s="238" t="s">
        <v>212</v>
      </c>
      <c r="C12" s="223">
        <v>0.3</v>
      </c>
      <c r="D12" s="239">
        <f>72000*0.62*0.3*0.02</f>
        <v>267.84000000000003</v>
      </c>
      <c r="E12" s="240">
        <f>D12*C12*0.105</f>
        <v>8.436960000000001</v>
      </c>
      <c r="F12" s="176">
        <f>D12*1.25</f>
        <v>334.80000000000007</v>
      </c>
      <c r="G12" s="237">
        <f>F12*C12*0.105</f>
        <v>10.5462</v>
      </c>
      <c r="H12" s="176">
        <f>F12*1.23</f>
        <v>411.8040000000001</v>
      </c>
      <c r="I12" s="237">
        <f>H12*C12*0.105</f>
        <v>12.971826000000002</v>
      </c>
      <c r="J12" s="176">
        <f t="shared" si="1"/>
        <v>1014.4440000000002</v>
      </c>
      <c r="K12" s="240">
        <f t="shared" si="1"/>
        <v>31.954986000000005</v>
      </c>
    </row>
    <row r="13" ht="12" customHeight="1">
      <c r="G13" s="241"/>
    </row>
    <row r="14" spans="1:11" ht="21" customHeight="1">
      <c r="A14" s="375" t="s">
        <v>213</v>
      </c>
      <c r="B14" s="375"/>
      <c r="C14" s="375"/>
      <c r="D14" s="375"/>
      <c r="E14" s="375"/>
      <c r="F14" s="375"/>
      <c r="G14" s="375"/>
      <c r="H14" s="375"/>
      <c r="I14" s="375"/>
      <c r="J14" s="375"/>
      <c r="K14" s="375"/>
    </row>
    <row r="15" spans="1:11" ht="17.25" customHeight="1">
      <c r="A15" s="375" t="s">
        <v>214</v>
      </c>
      <c r="B15" s="375"/>
      <c r="C15" s="375"/>
      <c r="D15" s="375"/>
      <c r="E15" s="375"/>
      <c r="F15" s="375"/>
      <c r="G15" s="375"/>
      <c r="H15" s="375"/>
      <c r="I15" s="375"/>
      <c r="J15" s="375"/>
      <c r="K15" s="375"/>
    </row>
    <row r="16" spans="1:11" ht="18" customHeight="1">
      <c r="A16" s="375" t="s">
        <v>215</v>
      </c>
      <c r="B16" s="375"/>
      <c r="C16" s="375"/>
      <c r="D16" s="375"/>
      <c r="E16" s="375"/>
      <c r="F16" s="375"/>
      <c r="G16" s="375"/>
      <c r="H16" s="375"/>
      <c r="I16" s="375"/>
      <c r="J16" s="375"/>
      <c r="K16" s="375"/>
    </row>
    <row r="17" spans="1:11" ht="20.25" customHeight="1">
      <c r="A17" s="375" t="s">
        <v>216</v>
      </c>
      <c r="B17" s="375"/>
      <c r="C17" s="375"/>
      <c r="D17" s="375"/>
      <c r="E17" s="375"/>
      <c r="F17" s="375"/>
      <c r="G17" s="375"/>
      <c r="H17" s="375"/>
      <c r="I17" s="375"/>
      <c r="J17" s="375"/>
      <c r="K17" s="375"/>
    </row>
    <row r="18" spans="1:11" ht="34.5" customHeight="1">
      <c r="A18" s="375" t="s">
        <v>217</v>
      </c>
      <c r="B18" s="375"/>
      <c r="C18" s="375"/>
      <c r="D18" s="375"/>
      <c r="E18" s="375"/>
      <c r="F18" s="375"/>
      <c r="G18" s="375"/>
      <c r="H18" s="375"/>
      <c r="I18" s="375"/>
      <c r="J18" s="375"/>
      <c r="K18" s="375"/>
    </row>
    <row r="19" spans="1:11" ht="18.75" customHeight="1">
      <c r="A19" s="376" t="s">
        <v>218</v>
      </c>
      <c r="B19" s="376"/>
      <c r="C19" s="376"/>
      <c r="D19" s="376"/>
      <c r="E19" s="376"/>
      <c r="F19" s="376"/>
      <c r="G19" s="376"/>
      <c r="H19" s="376"/>
      <c r="I19" s="376"/>
      <c r="J19" s="376"/>
      <c r="K19" s="376"/>
    </row>
    <row r="20" spans="1:11" ht="15.75">
      <c r="A20" s="374" t="s">
        <v>219</v>
      </c>
      <c r="B20" s="374"/>
      <c r="C20" s="374"/>
      <c r="D20" s="374"/>
      <c r="E20" s="374"/>
      <c r="F20" s="242"/>
      <c r="G20" s="242"/>
      <c r="H20" s="242"/>
      <c r="I20" s="242"/>
      <c r="J20" s="242"/>
      <c r="K20" s="242"/>
    </row>
    <row r="21" spans="1:5" ht="15.75">
      <c r="A21" s="374" t="s">
        <v>220</v>
      </c>
      <c r="B21" s="374"/>
      <c r="C21" s="374"/>
      <c r="D21" s="374"/>
      <c r="E21" s="374"/>
    </row>
    <row r="22" spans="1:5" ht="15.75">
      <c r="A22" s="374" t="s">
        <v>221</v>
      </c>
      <c r="B22" s="374"/>
      <c r="C22" s="374"/>
      <c r="D22" s="374"/>
      <c r="E22" s="374"/>
    </row>
  </sheetData>
  <sheetProtection/>
  <mergeCells count="22">
    <mergeCell ref="J6:K6"/>
    <mergeCell ref="A20:E20"/>
    <mergeCell ref="A21:E21"/>
    <mergeCell ref="A22:E22"/>
    <mergeCell ref="A14:K14"/>
    <mergeCell ref="A15:K15"/>
    <mergeCell ref="A16:K16"/>
    <mergeCell ref="A17:K17"/>
    <mergeCell ref="A18:K18"/>
    <mergeCell ref="A19:K19"/>
    <mergeCell ref="A6:A7"/>
    <mergeCell ref="B6:B7"/>
    <mergeCell ref="C6:C7"/>
    <mergeCell ref="D6:E6"/>
    <mergeCell ref="F6:G6"/>
    <mergeCell ref="H6:I6"/>
    <mergeCell ref="A1:D1"/>
    <mergeCell ref="E1:K1"/>
    <mergeCell ref="A2:D2"/>
    <mergeCell ref="E2:K2"/>
    <mergeCell ref="A4:K4"/>
    <mergeCell ref="G5:K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2018-12-01T03:35:15Z</cp:lastPrinted>
  <dcterms:created xsi:type="dcterms:W3CDTF">2016-09-09T09:08:09Z</dcterms:created>
  <dcterms:modified xsi:type="dcterms:W3CDTF">2018-12-01T03:49:30Z</dcterms:modified>
  <cp:category/>
  <cp:version/>
  <cp:contentType/>
  <cp:contentStatus/>
</cp:coreProperties>
</file>