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HANH-NS\HỌP HĐND TỈNH CÁC KỲ\Năm 2021\Kỳ họp cuối năm 2021\Các nội dung trình kỳ họp - Chính thức (13.12.2021)\Quyet toan NSDP 2020\"/>
    </mc:Choice>
  </mc:AlternateContent>
  <xr:revisionPtr revIDLastSave="0" documentId="13_ncr:1_{595C3D9F-A4FE-41BB-B624-1B6D17EE095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MB 60 cân đối" sheetId="3" r:id="rId1"/>
    <sheet name="MB 61 thu 2020" sheetId="2" r:id="rId2"/>
    <sheet name="MB 62 chi 2020" sheetId="1" r:id="rId3"/>
  </sheets>
  <definedNames>
    <definedName name="_xlnm.Print_Area" localSheetId="0">'MB 60 cân đối'!$A$1:$J$23</definedName>
    <definedName name="_xlnm.Print_Area" localSheetId="1">'MB 61 thu 2020'!$A$1:$K$116</definedName>
    <definedName name="_xlnm.Print_Area" localSheetId="2">'MB 62 chi 2020'!$A$1:$J$58</definedName>
    <definedName name="_xlnm.Print_Titles" localSheetId="1">'MB 61 thu 2020'!$6:$7</definedName>
    <definedName name="_xlnm.Print_Titles" localSheetId="2">'MB 62 chi 2020'!$5:$6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2" l="1"/>
  <c r="M75" i="2"/>
  <c r="A3" i="2"/>
  <c r="A3" i="1"/>
  <c r="I21" i="3"/>
  <c r="J21" i="3"/>
  <c r="H21" i="3"/>
  <c r="G21" i="3"/>
  <c r="I15" i="3"/>
  <c r="J15" i="3"/>
  <c r="H15" i="3"/>
  <c r="I14" i="3"/>
  <c r="J14" i="3"/>
  <c r="H14" i="3"/>
  <c r="I12" i="3"/>
  <c r="J12" i="3"/>
  <c r="H12" i="3"/>
  <c r="I10" i="3"/>
  <c r="J10" i="3"/>
  <c r="H10" i="3"/>
  <c r="D18" i="3"/>
  <c r="B18" i="3"/>
  <c r="E18" i="3"/>
  <c r="C18" i="3"/>
  <c r="D10" i="3"/>
  <c r="E10" i="3"/>
  <c r="C10" i="3"/>
  <c r="D17" i="3"/>
  <c r="E17" i="3"/>
  <c r="C17" i="3"/>
  <c r="D16" i="3"/>
  <c r="E16" i="3"/>
  <c r="C16" i="3"/>
  <c r="D13" i="3"/>
  <c r="E13" i="3"/>
  <c r="C13" i="3"/>
  <c r="D12" i="3"/>
  <c r="E12" i="3"/>
  <c r="C12" i="3"/>
  <c r="I107" i="2"/>
  <c r="G89" i="2"/>
  <c r="E89" i="2"/>
  <c r="E94" i="2"/>
  <c r="G15" i="3"/>
  <c r="C11" i="3"/>
  <c r="B11" i="3"/>
  <c r="B10" i="3"/>
  <c r="E40" i="2"/>
  <c r="F31" i="2"/>
  <c r="E63" i="2"/>
  <c r="E62" i="2"/>
  <c r="E61" i="2"/>
  <c r="J61" i="2"/>
  <c r="E58" i="2"/>
  <c r="K58" i="2"/>
  <c r="E56" i="2"/>
  <c r="J56" i="2"/>
  <c r="E45" i="2"/>
  <c r="E44" i="2"/>
  <c r="K44" i="2"/>
  <c r="E43" i="2"/>
  <c r="K43" i="2"/>
  <c r="E39" i="2"/>
  <c r="E38" i="2"/>
  <c r="J38" i="2"/>
  <c r="E37" i="2"/>
  <c r="E36" i="2"/>
  <c r="K36" i="2"/>
  <c r="E35" i="2"/>
  <c r="E34" i="2"/>
  <c r="J34" i="2"/>
  <c r="E33" i="2"/>
  <c r="E32" i="2"/>
  <c r="E30" i="2"/>
  <c r="E29" i="2"/>
  <c r="E28" i="2"/>
  <c r="E27" i="2"/>
  <c r="E26" i="2"/>
  <c r="E25" i="2"/>
  <c r="J25" i="2"/>
  <c r="E23" i="2"/>
  <c r="E22" i="2"/>
  <c r="E21" i="2"/>
  <c r="E20" i="2"/>
  <c r="J20" i="2"/>
  <c r="E16" i="2"/>
  <c r="E17" i="2"/>
  <c r="E18" i="2"/>
  <c r="E15" i="2"/>
  <c r="J15" i="2"/>
  <c r="D10" i="2"/>
  <c r="B17" i="3"/>
  <c r="B16" i="3"/>
  <c r="B15" i="3"/>
  <c r="G14" i="3"/>
  <c r="B14" i="3"/>
  <c r="B13" i="3"/>
  <c r="G12" i="3"/>
  <c r="B12" i="3"/>
  <c r="G10" i="3"/>
  <c r="E113" i="2"/>
  <c r="E112" i="2"/>
  <c r="K112" i="2"/>
  <c r="E111" i="2"/>
  <c r="E110" i="2"/>
  <c r="J110" i="2"/>
  <c r="E109" i="2"/>
  <c r="K109" i="2"/>
  <c r="E108" i="2"/>
  <c r="K108" i="2"/>
  <c r="H107" i="2"/>
  <c r="G107" i="2"/>
  <c r="E106" i="2"/>
  <c r="K106" i="2"/>
  <c r="E105" i="2"/>
  <c r="D105" i="2"/>
  <c r="C105" i="2"/>
  <c r="E104" i="2"/>
  <c r="C104" i="2"/>
  <c r="I103" i="2"/>
  <c r="I102" i="2"/>
  <c r="H103" i="2"/>
  <c r="H102" i="2"/>
  <c r="G103" i="2"/>
  <c r="G102" i="2"/>
  <c r="F103" i="2"/>
  <c r="F102" i="2"/>
  <c r="D103" i="2"/>
  <c r="D102" i="2"/>
  <c r="E101" i="2"/>
  <c r="E100" i="2"/>
  <c r="I99" i="2"/>
  <c r="H99" i="2"/>
  <c r="G99" i="2"/>
  <c r="F99" i="2"/>
  <c r="E98" i="2"/>
  <c r="D98" i="2"/>
  <c r="C98" i="2"/>
  <c r="E97" i="2"/>
  <c r="I96" i="2"/>
  <c r="H96" i="2"/>
  <c r="G96" i="2"/>
  <c r="G95" i="2"/>
  <c r="C21" i="3"/>
  <c r="F96" i="2"/>
  <c r="F95" i="2"/>
  <c r="D95" i="2"/>
  <c r="C95" i="2"/>
  <c r="E86" i="2"/>
  <c r="K86" i="2"/>
  <c r="E85" i="2"/>
  <c r="E84" i="2"/>
  <c r="E81" i="2"/>
  <c r="E80" i="2"/>
  <c r="I75" i="2"/>
  <c r="H75" i="2"/>
  <c r="G75" i="2"/>
  <c r="C75" i="2"/>
  <c r="K63" i="2"/>
  <c r="K62" i="2"/>
  <c r="E60" i="2"/>
  <c r="E59" i="2"/>
  <c r="E57" i="2"/>
  <c r="K45" i="2"/>
  <c r="J42" i="2"/>
  <c r="J41" i="2"/>
  <c r="C40" i="2"/>
  <c r="K39" i="2"/>
  <c r="J39" i="2"/>
  <c r="J35" i="2"/>
  <c r="I31" i="2"/>
  <c r="H31" i="2"/>
  <c r="G31" i="2"/>
  <c r="C31" i="2"/>
  <c r="J26" i="2"/>
  <c r="I24" i="2"/>
  <c r="H24" i="2"/>
  <c r="G24" i="2"/>
  <c r="F24" i="2"/>
  <c r="C24" i="2"/>
  <c r="I19" i="2"/>
  <c r="H19" i="2"/>
  <c r="G19" i="2"/>
  <c r="F19" i="2"/>
  <c r="C19" i="2"/>
  <c r="I14" i="2"/>
  <c r="H14" i="2"/>
  <c r="D9" i="3"/>
  <c r="D8" i="3"/>
  <c r="G14" i="2"/>
  <c r="F14" i="2"/>
  <c r="C14" i="2"/>
  <c r="H13" i="2"/>
  <c r="E31" i="2"/>
  <c r="C9" i="3"/>
  <c r="D9" i="2"/>
  <c r="H95" i="2"/>
  <c r="D21" i="3"/>
  <c r="D7" i="3"/>
  <c r="K98" i="2"/>
  <c r="I95" i="2"/>
  <c r="E21" i="3"/>
  <c r="E14" i="2"/>
  <c r="C13" i="2"/>
  <c r="E9" i="3"/>
  <c r="E8" i="3"/>
  <c r="E96" i="2"/>
  <c r="J96" i="2"/>
  <c r="C103" i="2"/>
  <c r="C102" i="2"/>
  <c r="C9" i="2"/>
  <c r="J105" i="2"/>
  <c r="F13" i="2"/>
  <c r="J16" i="2"/>
  <c r="J104" i="2"/>
  <c r="J108" i="2"/>
  <c r="E19" i="2"/>
  <c r="K104" i="2"/>
  <c r="K56" i="2"/>
  <c r="E24" i="2"/>
  <c r="K24" i="2"/>
  <c r="J21" i="2"/>
  <c r="K96" i="2"/>
  <c r="J45" i="2"/>
  <c r="H12" i="2"/>
  <c r="H10" i="2"/>
  <c r="H9" i="2"/>
  <c r="I13" i="2"/>
  <c r="I12" i="2"/>
  <c r="I10" i="2"/>
  <c r="I9" i="2"/>
  <c r="K38" i="2"/>
  <c r="J40" i="2"/>
  <c r="C10" i="2"/>
  <c r="C11" i="2"/>
  <c r="J106" i="2"/>
  <c r="J109" i="2"/>
  <c r="K40" i="2"/>
  <c r="E103" i="2"/>
  <c r="J63" i="2"/>
  <c r="J98" i="2"/>
  <c r="E107" i="2"/>
  <c r="K107" i="2"/>
  <c r="K110" i="2"/>
  <c r="G13" i="2"/>
  <c r="G12" i="2"/>
  <c r="E12" i="2"/>
  <c r="K61" i="2"/>
  <c r="J18" i="2"/>
  <c r="J23" i="2"/>
  <c r="J24" i="2"/>
  <c r="J33" i="2"/>
  <c r="J44" i="2"/>
  <c r="J58" i="2"/>
  <c r="J62" i="2"/>
  <c r="K105" i="2"/>
  <c r="J17" i="2"/>
  <c r="J22" i="2"/>
  <c r="J32" i="2"/>
  <c r="J36" i="2"/>
  <c r="J43" i="2"/>
  <c r="E99" i="2"/>
  <c r="H37" i="1"/>
  <c r="G37" i="1"/>
  <c r="H40" i="1"/>
  <c r="G40" i="1"/>
  <c r="E39" i="1"/>
  <c r="E36" i="1"/>
  <c r="J36" i="1"/>
  <c r="E34" i="1"/>
  <c r="J34" i="1"/>
  <c r="E33" i="1"/>
  <c r="E32" i="1"/>
  <c r="E31" i="1"/>
  <c r="J31" i="1"/>
  <c r="F21" i="1"/>
  <c r="E21" i="1"/>
  <c r="D52" i="1"/>
  <c r="E55" i="1"/>
  <c r="E54" i="1"/>
  <c r="E53" i="1"/>
  <c r="E52" i="1"/>
  <c r="E51" i="1"/>
  <c r="E50" i="1"/>
  <c r="E49" i="1"/>
  <c r="E48" i="1"/>
  <c r="E47" i="1"/>
  <c r="H46" i="1"/>
  <c r="J13" i="3"/>
  <c r="G46" i="1"/>
  <c r="I13" i="3"/>
  <c r="F46" i="1"/>
  <c r="H13" i="3"/>
  <c r="D46" i="1"/>
  <c r="E44" i="1"/>
  <c r="E43" i="1"/>
  <c r="E42" i="1"/>
  <c r="E41" i="1"/>
  <c r="E38" i="1"/>
  <c r="E35" i="1"/>
  <c r="E29" i="1"/>
  <c r="E28" i="1"/>
  <c r="C27" i="1"/>
  <c r="E26" i="1"/>
  <c r="E24" i="1"/>
  <c r="E23" i="1"/>
  <c r="E22" i="1"/>
  <c r="E20" i="1"/>
  <c r="E19" i="1"/>
  <c r="E18" i="1"/>
  <c r="E17" i="1"/>
  <c r="E16" i="1"/>
  <c r="E15" i="1"/>
  <c r="E14" i="1"/>
  <c r="E13" i="1"/>
  <c r="E12" i="1"/>
  <c r="H11" i="1"/>
  <c r="H10" i="1"/>
  <c r="J9" i="3"/>
  <c r="G11" i="1"/>
  <c r="G10" i="1"/>
  <c r="I9" i="3"/>
  <c r="C10" i="1"/>
  <c r="G27" i="1"/>
  <c r="I11" i="3"/>
  <c r="I8" i="3"/>
  <c r="I7" i="3"/>
  <c r="D19" i="3"/>
  <c r="J52" i="1"/>
  <c r="F11" i="1"/>
  <c r="F10" i="1"/>
  <c r="H9" i="3"/>
  <c r="G9" i="3"/>
  <c r="J28" i="1"/>
  <c r="B21" i="3"/>
  <c r="E13" i="2"/>
  <c r="J13" i="2"/>
  <c r="J14" i="2"/>
  <c r="C8" i="3"/>
  <c r="B9" i="3"/>
  <c r="G13" i="3"/>
  <c r="G10" i="2"/>
  <c r="G9" i="2"/>
  <c r="J103" i="2"/>
  <c r="K14" i="2"/>
  <c r="E7" i="3"/>
  <c r="E40" i="1"/>
  <c r="J40" i="1"/>
  <c r="H27" i="1"/>
  <c r="J11" i="3"/>
  <c r="J8" i="3"/>
  <c r="J7" i="3"/>
  <c r="K103" i="2"/>
  <c r="J107" i="2"/>
  <c r="K12" i="2"/>
  <c r="J19" i="2"/>
  <c r="E102" i="2"/>
  <c r="K102" i="2"/>
  <c r="K13" i="2"/>
  <c r="E95" i="2"/>
  <c r="J31" i="2"/>
  <c r="K31" i="2"/>
  <c r="C9" i="1"/>
  <c r="J39" i="1"/>
  <c r="E37" i="1"/>
  <c r="J37" i="1"/>
  <c r="J29" i="1"/>
  <c r="D27" i="1"/>
  <c r="D9" i="1"/>
  <c r="D8" i="1"/>
  <c r="F27" i="1"/>
  <c r="E30" i="1"/>
  <c r="J30" i="1"/>
  <c r="J38" i="1"/>
  <c r="J35" i="1"/>
  <c r="J33" i="1"/>
  <c r="J32" i="1"/>
  <c r="E11" i="1"/>
  <c r="E10" i="1"/>
  <c r="E46" i="1"/>
  <c r="I31" i="1"/>
  <c r="I36" i="1"/>
  <c r="G9" i="1"/>
  <c r="G8" i="1"/>
  <c r="H9" i="1"/>
  <c r="H8" i="1"/>
  <c r="J102" i="2"/>
  <c r="C7" i="3"/>
  <c r="B8" i="3"/>
  <c r="F9" i="1"/>
  <c r="F8" i="1"/>
  <c r="H11" i="3"/>
  <c r="E19" i="3"/>
  <c r="J12" i="2"/>
  <c r="K95" i="2"/>
  <c r="J95" i="2"/>
  <c r="I30" i="1"/>
  <c r="E27" i="1"/>
  <c r="J27" i="1"/>
  <c r="J10" i="1"/>
  <c r="I10" i="1"/>
  <c r="B7" i="3"/>
  <c r="G11" i="3"/>
  <c r="H8" i="3"/>
  <c r="H7" i="3"/>
  <c r="G7" i="3"/>
  <c r="E9" i="1"/>
  <c r="E8" i="1"/>
  <c r="I27" i="1"/>
  <c r="G8" i="3"/>
  <c r="J9" i="1"/>
  <c r="J8" i="1"/>
  <c r="I9" i="1"/>
  <c r="B19" i="3"/>
  <c r="C19" i="3"/>
  <c r="E82" i="2"/>
  <c r="J82" i="2"/>
  <c r="E79" i="2"/>
  <c r="J79" i="2"/>
  <c r="F75" i="2"/>
  <c r="F11" i="2"/>
  <c r="E11" i="2"/>
  <c r="E77" i="2"/>
  <c r="J77" i="2"/>
  <c r="E76" i="2"/>
  <c r="J76" i="2"/>
  <c r="E78" i="2"/>
  <c r="J78" i="2"/>
  <c r="J11" i="2"/>
  <c r="E10" i="2"/>
  <c r="K11" i="2"/>
  <c r="E75" i="2"/>
  <c r="F10" i="2"/>
  <c r="F9" i="2"/>
  <c r="E9" i="2"/>
  <c r="K9" i="2"/>
  <c r="J9" i="2"/>
  <c r="J75" i="2"/>
  <c r="K75" i="2"/>
  <c r="K10" i="2"/>
  <c r="J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thauydoan</author>
  </authors>
  <commentList>
    <comment ref="D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thauydoan:</t>
        </r>
        <r>
          <rPr>
            <sz val="9"/>
            <color indexed="81"/>
            <rFont val="Tahoma"/>
            <family val="2"/>
          </rPr>
          <t xml:space="preserve">
Ko bao gồm thu NSTƯ hưởng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thauydoan</author>
  </authors>
  <commentList>
    <comment ref="D1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thauydoan:</t>
        </r>
        <r>
          <rPr>
            <sz val="9"/>
            <color indexed="81"/>
            <rFont val="Tahoma"/>
            <family val="2"/>
          </rPr>
          <t xml:space="preserve">
bao gồm chi từ nguồn bội chi</t>
        </r>
      </text>
    </comment>
    <comment ref="D3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thauydoan:</t>
        </r>
        <r>
          <rPr>
            <sz val="9"/>
            <color indexed="81"/>
            <rFont val="Tahoma"/>
            <family val="2"/>
          </rPr>
          <t xml:space="preserve">
tự tách sn VH và thế theo</t>
        </r>
      </text>
    </comment>
  </commentList>
</comments>
</file>

<file path=xl/sharedStrings.xml><?xml version="1.0" encoding="utf-8"?>
<sst xmlns="http://schemas.openxmlformats.org/spreadsheetml/2006/main" count="288" uniqueCount="217">
  <si>
    <t>Mẫu biểu số 62</t>
  </si>
  <si>
    <t>QUYẾT TOÁN CHI NGÂN SÁCH ĐỊA PHƯƠNG NĂM 2020</t>
  </si>
  <si>
    <t>Đơn vị: triệu đồng</t>
  </si>
  <si>
    <t>Nội dung chi</t>
  </si>
  <si>
    <t>Dự toán năm 2020</t>
  </si>
  <si>
    <t>Quyết toán năm 2020</t>
  </si>
  <si>
    <t>So sánh QT/DT(%)</t>
  </si>
  <si>
    <t>Cấp trên giao</t>
  </si>
  <si>
    <t>HĐND quyết định</t>
  </si>
  <si>
    <t>Tổng số Chi NSĐP</t>
  </si>
  <si>
    <t>Chi NS cấp tỉnh</t>
  </si>
  <si>
    <t>Chi NS cấp huyện</t>
  </si>
  <si>
    <t>Chi NS xã</t>
  </si>
  <si>
    <t>A</t>
  </si>
  <si>
    <t>B</t>
  </si>
  <si>
    <t>(7)=(3):(1)</t>
  </si>
  <si>
    <t>(8)= (3):(2)</t>
  </si>
  <si>
    <t xml:space="preserve">TỔNG </t>
  </si>
  <si>
    <t>CHI CÂN ĐỐI NGÂN SÁCH</t>
  </si>
  <si>
    <t>I</t>
  </si>
  <si>
    <t>Chi đầu tư phát triển</t>
  </si>
  <si>
    <t>Chi đầu tư phát triển cho chương trình, dự án theo lĩnh vực</t>
  </si>
  <si>
    <t>Chi quốc phòng</t>
  </si>
  <si>
    <t>Chi an ninh và trật tự an toàn xã hội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</si>
  <si>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</si>
  <si>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</si>
  <si>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</si>
  <si>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</si>
  <si>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hình, thông tấn</t>
  </si>
  <si>
    <t>Chi Thể dục thể thao</t>
  </si>
  <si>
    <t>Chi Bảo vệ môi trường</t>
  </si>
  <si>
    <t>Chi các hoạt động kinh tế</t>
  </si>
  <si>
    <t>Chi hoạt động của các cơ quan quản lý nhà nước, đảng, đoàn thể</t>
  </si>
  <si>
    <t>Chi Bảo đảm xã hội</t>
  </si>
  <si>
    <t>Chi ngành, lĩnh vực khác</t>
  </si>
  <si>
    <t>Chi đầu tư và hỗ trợ vốn cho các doanh nghiệp hoạt động công</t>
  </si>
  <si>
    <t>Chi đầu tư phát triển khác</t>
  </si>
  <si>
    <t>II</t>
  </si>
  <si>
    <t>CHI THƯỜNG XUYÊN</t>
  </si>
  <si>
    <t>Chi khác ngân sách</t>
  </si>
  <si>
    <t>III</t>
  </si>
  <si>
    <t>Chi trả nợ lãi vay theo quy định</t>
  </si>
  <si>
    <t>IV</t>
  </si>
  <si>
    <t>CHI CHUYỂN NGUỒN</t>
  </si>
  <si>
    <t>Chi viện trợ</t>
  </si>
  <si>
    <t>VI</t>
  </si>
  <si>
    <t>Chi bổ sung quỹ dự trữ tài chính</t>
  </si>
  <si>
    <t>VII</t>
  </si>
  <si>
    <t>Dự phòng ngân sách</t>
  </si>
  <si>
    <t>CHI BỔ SUNG CHO NGÂN SÁCH CẤP DƯỚI</t>
  </si>
  <si>
    <t>Bổ sung cân đối</t>
  </si>
  <si>
    <t>Bổ sung có mục tiêu</t>
  </si>
  <si>
    <t>C</t>
  </si>
  <si>
    <t>CHI NỘP NGÂN SÁCH CẤP TRÊN</t>
  </si>
  <si>
    <t>D</t>
  </si>
  <si>
    <t>CHI TRẢ NỢ GỐC</t>
  </si>
  <si>
    <t>Trả nợ gốc vay trong nước</t>
  </si>
  <si>
    <t>Trong đó: Chi trả nợ gốc vay của ĐP từ nguồn cho vay lại của Chính phủ</t>
  </si>
  <si>
    <t>Trả nợ gốc vay ngoài nước</t>
  </si>
  <si>
    <t>Mẫu biểu số 61</t>
  </si>
  <si>
    <t>QUYẾT TOÁN THU NSNN, VAY NSĐP NĂM 2020</t>
  </si>
  <si>
    <t>ĐVT:Triệu đồng</t>
  </si>
  <si>
    <t>STT</t>
  </si>
  <si>
    <t>Nội dung</t>
  </si>
  <si>
    <t>Dự toán năm</t>
  </si>
  <si>
    <t>Quyết toán năm</t>
  </si>
  <si>
    <t>Phân chia theo từng cấp ngân sách</t>
  </si>
  <si>
    <t>So sánh QT/DT (%)</t>
  </si>
  <si>
    <t>Thu NS TW</t>
  </si>
  <si>
    <t>Thu NS cấp tỉnh</t>
  </si>
  <si>
    <t>Thu NS cấp huyện</t>
  </si>
  <si>
    <t>Thu NS xã</t>
  </si>
  <si>
    <t>(3)=(4)+(5)+(6)+(7)</t>
  </si>
  <si>
    <t>(8)=(3):(1)</t>
  </si>
  <si>
    <t>(9)=(3):(2)</t>
  </si>
  <si>
    <t>TỔNG THU NSĐP</t>
  </si>
  <si>
    <t>THU NGÂN SÁCH NHÀ NƯỚC TRÊN ĐỊA BÀN</t>
  </si>
  <si>
    <t>Chia ra:  * Thu NSTW</t>
  </si>
  <si>
    <t xml:space="preserve">             * Thu NSĐP</t>
  </si>
  <si>
    <t>THU NỘI ĐỊA</t>
  </si>
  <si>
    <t>Thu từ khu vực doanh nghiệp nhà nước do Trung ương quản lý</t>
  </si>
  <si>
    <t>- Thuế giá trị gia tăng</t>
  </si>
  <si>
    <t>- Thuế thu nhập doanh nghiệp</t>
  </si>
  <si>
    <t>- Thuế tiêu thụ đặc biệt</t>
  </si>
  <si>
    <t>- Thuế tài nguyên</t>
  </si>
  <si>
    <t>Thu từ khu vực doanh nghiệp nhà nước do địa phương quản lý</t>
  </si>
  <si>
    <t>Thu từ khu vực doanh nghiệp có vốn đầu tư nước ngoài</t>
  </si>
  <si>
    <t xml:space="preserve">- Thu từ khí thiên nhiên </t>
  </si>
  <si>
    <t>- Tiền thuê mặt đất, mặt nước</t>
  </si>
  <si>
    <t>Thu từ khu vực kinh tế ngoài quốc doanh</t>
  </si>
  <si>
    <t>Lệ phí trước bạ</t>
  </si>
  <si>
    <t>Thuế sử dụng đất nông nghiệp</t>
  </si>
  <si>
    <t>Thuế sử dụng đất phi nông nghiệp</t>
  </si>
  <si>
    <t>Thuế thu nhập cá nhân</t>
  </si>
  <si>
    <t>Thuế bảo vệ môi trường</t>
  </si>
  <si>
    <t>Trong đó: - Thu từ hàng hóa nhập khẩu</t>
  </si>
  <si>
    <t>- Thu từ hàng hóa sản xuất trong nước</t>
  </si>
  <si>
    <t>Phí, lệ phí</t>
  </si>
  <si>
    <t>Tiền sử dụng đất</t>
  </si>
  <si>
    <t>Thu tiền thuê đất, mặt nước</t>
  </si>
  <si>
    <t>Thu tiền sử dụng khu vực biển</t>
  </si>
  <si>
    <t>Trong đó: - Thuộc thẩm quyền giao của trung ương</t>
  </si>
  <si>
    <t>- Thuộc thẩm quyền giao của địa phương</t>
  </si>
  <si>
    <t>Thu từ bán tài sản nhà nước</t>
  </si>
  <si>
    <t>Trong đó: - Do trung ương</t>
  </si>
  <si>
    <t xml:space="preserve">                - Do địa phương</t>
  </si>
  <si>
    <t>Thu từ tài sản được xác lập quyền sở hữu của nhà nước</t>
  </si>
  <si>
    <t>Trong đó: - Do trung ương xử lý</t>
  </si>
  <si>
    <t xml:space="preserve">                - Do địa phương xử lý</t>
  </si>
  <si>
    <t>Thu tiền cho thuê và bán nhà ở thuộc sở hữu nhà nước</t>
  </si>
  <si>
    <t>Thu khác ngân sách</t>
  </si>
  <si>
    <t>Trong đó: - Thu khác ngân sách trung ương</t>
  </si>
  <si>
    <t>Thu tiền cấp quyền khai thác khoáng sản</t>
  </si>
  <si>
    <t>Trong đó: - Giấy phép do Trung ương cấp</t>
  </si>
  <si>
    <t>- Giấy phép do Ủy ban nhân dân cấp tỉnh cấp</t>
  </si>
  <si>
    <t>Thu từ quỹ đất công ích và thu hoa lợi công sản khác (Thu tại xã)</t>
  </si>
  <si>
    <t>Thu cổ tức và lợi nhuận sau thuế</t>
  </si>
  <si>
    <t>Thu từ hoạt động xổ số kiến thiết (kể cả xổ số điện toán)</t>
  </si>
  <si>
    <t>Thu về dầu thô</t>
  </si>
  <si>
    <t xml:space="preserve">Thu về dầu thô theo hiệp định, hợp đồng </t>
  </si>
  <si>
    <t>Thuế tài nguyên</t>
  </si>
  <si>
    <t>Thuế thu nhập doanh nghiệp</t>
  </si>
  <si>
    <t>Lợi nhuận sau thuế được chia của Chính phủ Việt Nam</t>
  </si>
  <si>
    <t>Dầu lãi được chia của Chính phủ Việt Nam</t>
  </si>
  <si>
    <t xml:space="preserve">Thuế đặc biệt </t>
  </si>
  <si>
    <t>Thu khác</t>
  </si>
  <si>
    <t xml:space="preserve">Thu về Condensate theo hiệp định, hợp đồng. </t>
  </si>
  <si>
    <t>Phụ thu về dầu, khí</t>
  </si>
  <si>
    <t>Thu về khí thiên nhiên (không bao gồm doanh nghiệp có vốn đầu tư nước ngoài)</t>
  </si>
  <si>
    <t>Thu Hải quan</t>
  </si>
  <si>
    <t>Thuế xuất khẩu</t>
  </si>
  <si>
    <t>Thuế nhập khẩu</t>
  </si>
  <si>
    <t>Thuế tiêu thụ đặc biệt hàng nhập khẩu</t>
  </si>
  <si>
    <t>Thuế giá trị gia tăng hàng nhập khẩu</t>
  </si>
  <si>
    <t>Thuế bổ sung đối với hàng hóa nhập khẩu vào Việt Nam</t>
  </si>
  <si>
    <t>Thu chênh lệch giá hàng xuất nhập khẩu</t>
  </si>
  <si>
    <t>Thuế bảo vệ môi trường do cơ quan hải quan thực hiện</t>
  </si>
  <si>
    <t>Thu Viện trợ</t>
  </si>
  <si>
    <t>V</t>
  </si>
  <si>
    <t>Các khoản huy động, đóng góp</t>
  </si>
  <si>
    <t>Các khoản huy động đóng góp xây dựng cơ sở hạ tầng</t>
  </si>
  <si>
    <t>Các khoản huy động đóng góp khác</t>
  </si>
  <si>
    <t>Thu hồi vốn của Nhà nước và thu từ quỹ dự trữ tài chính</t>
  </si>
  <si>
    <t>Thu từ bán cổ phần, vốn góp của Nhà nước nộp ngân sách</t>
  </si>
  <si>
    <t>Thu từ các khoản cho vay của ngân sách</t>
  </si>
  <si>
    <t>Thu nợ gốc cho vay</t>
  </si>
  <si>
    <t>Thu lãi cho vay</t>
  </si>
  <si>
    <t>Thu từ quỹ dự trữ tài chính</t>
  </si>
  <si>
    <t>VAY CỦA NGÂN SÁCH ĐỊA PHƯƠNG</t>
  </si>
  <si>
    <t>Vay bù đắp bội chi NSĐP</t>
  </si>
  <si>
    <t>Vay trong nước</t>
  </si>
  <si>
    <t>Vay lại từ nguồn Chính phủ vay ngoài nước</t>
  </si>
  <si>
    <t>Vay để trả nợ gốc vay</t>
  </si>
  <si>
    <t>THU CHUYỂN GIAO NGÂN SÁCH</t>
  </si>
  <si>
    <t>Thu bổ sung từ ngân sách cấp trên</t>
  </si>
  <si>
    <t xml:space="preserve">Bổ sung cân đối </t>
  </si>
  <si>
    <t xml:space="preserve">Bổ sung có mục tiêu bằng nguồn vốn trong nước </t>
  </si>
  <si>
    <t>Bổ sung có mục tiêu bằng nguồn vốn ngoài nước</t>
  </si>
  <si>
    <t>Bổ sung vốn sự nghiệp để thực hiện một số chính sách của Trung ương</t>
  </si>
  <si>
    <t>Chương trình mục tiêu quốc gia</t>
  </si>
  <si>
    <t>Bổ sung nguồn hiện thực CCTL</t>
  </si>
  <si>
    <t>Thu từ ngân sách cấp dưới nộp lên</t>
  </si>
  <si>
    <t>THU CHUYỂN NGUỒN</t>
  </si>
  <si>
    <t>E</t>
  </si>
  <si>
    <t>THU KẾT DƯ NGÂN SÁCH</t>
  </si>
  <si>
    <t>Mẫu biểu số 60</t>
  </si>
  <si>
    <t>CÂN ĐỐI QUYẾT TOÁN NGÂN SÁCH ĐỊA PHƯƠNG NĂM 2020</t>
  </si>
  <si>
    <t>Phần thu</t>
  </si>
  <si>
    <t>Tổng số</t>
  </si>
  <si>
    <t>Phần chi</t>
  </si>
  <si>
    <t>Tổng số thu</t>
  </si>
  <si>
    <t>Tổng số chi</t>
  </si>
  <si>
    <t>Tr.đó: - Bổ sung cân đối ngân sách</t>
  </si>
  <si>
    <t xml:space="preserve">             - Bổ sung có mục tiêu</t>
  </si>
  <si>
    <t>- Kết dư ngân sách năm quyết toán = (thu - chi)</t>
  </si>
  <si>
    <t>Phí, lệ phí hải quan</t>
  </si>
  <si>
    <t>8. Thu cấp dưới nộp lên</t>
  </si>
  <si>
    <t>7. Chi nộp ngân sách cấp trên</t>
  </si>
  <si>
    <r>
      <t>- Bội chi = chi - thu</t>
    </r>
    <r>
      <rPr>
        <b/>
        <vertAlign val="superscript"/>
        <sz val="10"/>
        <color rgb="FF000000"/>
        <rFont val="Times New Roman"/>
        <family val="1"/>
      </rPr>
      <t>1</t>
    </r>
  </si>
  <si>
    <t>ỦY BAN NHÂN DÂN TỈNH</t>
  </si>
  <si>
    <t>(3)=(4)+(5)+
(6)</t>
  </si>
  <si>
    <t>(Kèm theo Báo cáo số          /BC-UBND ngày ….../12/2021 của UBND tỉnh)</t>
  </si>
  <si>
    <t>1. Chi đầu tư phát triển</t>
  </si>
  <si>
    <t>2. Chi trả nợ lãi, phí tiền vay</t>
  </si>
  <si>
    <t>3. Chi thường xuyên</t>
  </si>
  <si>
    <t>4. Chi bổ sung quỹ dự trữ tài chính</t>
  </si>
  <si>
    <t>5. Chi bổ sung cho ngân sách cấp dưới</t>
  </si>
  <si>
    <t>6. Chi chuyển nguồn sang năm sau</t>
  </si>
  <si>
    <t>A. Tổng số thu cân đối ngân sách</t>
  </si>
  <si>
    <t>1. Các khoản thu NSĐP hưởng 100%</t>
  </si>
  <si>
    <t>2. Các khoản thu phân chia theo tỷ lệ %</t>
  </si>
  <si>
    <t>3. Thu từ quỹ dự trữ tài chính</t>
  </si>
  <si>
    <t>4. Thu kết dư năm trước</t>
  </si>
  <si>
    <t>5. Thu chuyển nguồn từ năm trước sang</t>
  </si>
  <si>
    <t>6. Thu viện trợ</t>
  </si>
  <si>
    <t>7. Thu bổ sung từ ngân sách cấp trên</t>
  </si>
  <si>
    <t>A. Tổng số chi cân đối ngân sách</t>
  </si>
  <si>
    <r>
      <t>B. Chi trả nợ gốc (chi tiết từng nguồn trả nợ gốc)</t>
    </r>
    <r>
      <rPr>
        <b/>
        <vertAlign val="superscript"/>
        <sz val="10"/>
        <color rgb="FF000000"/>
        <rFont val="Times New Roman"/>
        <family val="1"/>
      </rPr>
      <t>1</t>
    </r>
  </si>
  <si>
    <r>
      <t>B. Vay của ngân sách cấp tỉnh</t>
    </r>
    <r>
      <rPr>
        <b/>
        <vertAlign val="superscript"/>
        <sz val="10"/>
        <color rgb="FF000000"/>
        <rFont val="Arial"/>
        <family val="2"/>
      </rPr>
      <t/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</si>
  <si>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</si>
  <si>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</si>
  <si>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</si>
  <si>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</si>
  <si>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</si>
  <si>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</si>
  <si>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</si>
  <si>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</si>
  <si>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</si>
  <si>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</si>
  <si>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</si>
  <si>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</si>
  <si>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</si>
  <si>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-</t>
  </si>
  <si>
    <t>Bằng nguồn vốn trong nước</t>
  </si>
  <si>
    <t>Bằng nguồn vốn ngoài nước</t>
  </si>
  <si>
    <t>2.1</t>
  </si>
  <si>
    <t>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</si>
</sst>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1"/>
      <name val="Times New Roman"/>
      <family val="1"/>
    </font>
    <font>
      <b/>
      <sz val="10"/>
      <color rgb="FF000000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color rgb="FF000000"/>
      <name val="Arial"/>
      <family val="2"/>
    </font>
    <font>
      <b/>
      <vertAlign val="superscript"/>
      <sz val="10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i/>
      <sz val="13"/>
      <color rgb="FF000000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126">
    <xf numFmtId="0" fontId="0" fillId="0" borderId="0" xfId="0"/>
    <xf numFmtId="3" fontId="4" fillId="2" borderId="2" xfId="0" applyNumberFormat="1" applyFont="1" applyFill="1" applyBorder="1" applyAlignment="1">
      <alignment horizontal="right" vertical="center" wrapText="1"/>
    </xf>
    <xf numFmtId="0" fontId="15" fillId="2" borderId="0" xfId="0" applyFont="1" applyFill="1" applyAlignment="1">
      <alignment vertical="center" wrapText="1"/>
    </xf>
    <xf numFmtId="0" fontId="16" fillId="2" borderId="0" xfId="0" applyFont="1" applyFill="1"/>
    <xf numFmtId="0" fontId="2" fillId="2" borderId="0" xfId="0" applyFont="1" applyFill="1"/>
    <xf numFmtId="0" fontId="4" fillId="2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3" fontId="6" fillId="2" borderId="1" xfId="0" applyNumberFormat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164" fontId="4" fillId="2" borderId="1" xfId="1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vertical="center" wrapText="1"/>
    </xf>
    <xf numFmtId="0" fontId="5" fillId="2" borderId="0" xfId="0" applyFont="1" applyFill="1"/>
    <xf numFmtId="0" fontId="18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9" fontId="11" fillId="2" borderId="1" xfId="2" applyFont="1" applyFill="1" applyBorder="1" applyAlignment="1">
      <alignment horizontal="center" vertical="center" wrapText="1"/>
    </xf>
    <xf numFmtId="164" fontId="5" fillId="2" borderId="0" xfId="0" applyNumberFormat="1" applyFont="1" applyFill="1"/>
    <xf numFmtId="0" fontId="12" fillId="2" borderId="1" xfId="0" applyFont="1" applyFill="1" applyBorder="1" applyAlignment="1">
      <alignment vertical="center" wrapText="1"/>
    </xf>
    <xf numFmtId="164" fontId="12" fillId="2" borderId="1" xfId="1" applyNumberFormat="1" applyFont="1" applyFill="1" applyBorder="1" applyAlignment="1">
      <alignment horizontal="right" vertical="center" wrapText="1"/>
    </xf>
    <xf numFmtId="9" fontId="12" fillId="2" borderId="1" xfId="2" applyFont="1" applyFill="1" applyBorder="1" applyAlignment="1">
      <alignment horizontal="center" vertical="center" wrapText="1"/>
    </xf>
    <xf numFmtId="164" fontId="7" fillId="2" borderId="0" xfId="0" applyNumberFormat="1" applyFont="1" applyFill="1"/>
    <xf numFmtId="0" fontId="7" fillId="2" borderId="0" xfId="0" applyFont="1" applyFill="1"/>
    <xf numFmtId="0" fontId="11" fillId="2" borderId="1" xfId="0" applyFont="1" applyFill="1" applyBorder="1" applyAlignment="1">
      <alignment vertical="center" wrapText="1"/>
    </xf>
    <xf numFmtId="164" fontId="11" fillId="2" borderId="1" xfId="1" applyNumberFormat="1" applyFont="1" applyFill="1" applyBorder="1" applyAlignment="1">
      <alignment horizontal="right" vertical="center" wrapText="1"/>
    </xf>
    <xf numFmtId="10" fontId="5" fillId="2" borderId="0" xfId="0" applyNumberFormat="1" applyFont="1" applyFill="1"/>
    <xf numFmtId="10" fontId="5" fillId="2" borderId="0" xfId="1" applyNumberFormat="1" applyFont="1" applyFill="1"/>
    <xf numFmtId="3" fontId="5" fillId="2" borderId="0" xfId="0" applyNumberFormat="1" applyFont="1" applyFill="1"/>
    <xf numFmtId="164" fontId="11" fillId="2" borderId="2" xfId="1" applyNumberFormat="1" applyFont="1" applyFill="1" applyBorder="1" applyAlignment="1">
      <alignment horizontal="right" vertical="center" wrapText="1"/>
    </xf>
    <xf numFmtId="164" fontId="11" fillId="2" borderId="2" xfId="1" applyNumberFormat="1" applyFont="1" applyFill="1" applyBorder="1" applyAlignment="1">
      <alignment horizontal="right" vertical="top" wrapText="1"/>
    </xf>
    <xf numFmtId="0" fontId="18" fillId="2" borderId="1" xfId="0" applyFont="1" applyFill="1" applyBorder="1" applyAlignment="1">
      <alignment vertical="center" wrapText="1"/>
    </xf>
    <xf numFmtId="164" fontId="18" fillId="2" borderId="1" xfId="1" applyNumberFormat="1" applyFont="1" applyFill="1" applyBorder="1" applyAlignment="1">
      <alignment horizontal="right" vertical="center" wrapText="1"/>
    </xf>
    <xf numFmtId="164" fontId="5" fillId="2" borderId="0" xfId="1" applyNumberFormat="1" applyFont="1" applyFill="1"/>
    <xf numFmtId="0" fontId="18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9" fillId="2" borderId="0" xfId="0" applyFont="1" applyFill="1" applyAlignment="1">
      <alignment vertical="center" wrapText="1"/>
    </xf>
    <xf numFmtId="0" fontId="20" fillId="2" borderId="0" xfId="0" applyFont="1" applyFill="1"/>
    <xf numFmtId="164" fontId="12" fillId="2" borderId="1" xfId="1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 wrapText="1"/>
    </xf>
    <xf numFmtId="164" fontId="5" fillId="2" borderId="1" xfId="1" applyNumberFormat="1" applyFont="1" applyFill="1" applyBorder="1" applyAlignment="1">
      <alignment vertical="center" wrapText="1"/>
    </xf>
    <xf numFmtId="164" fontId="12" fillId="2" borderId="1" xfId="1" applyNumberFormat="1" applyFont="1" applyFill="1" applyBorder="1" applyAlignment="1">
      <alignment vertical="center" wrapText="1"/>
    </xf>
    <xf numFmtId="0" fontId="12" fillId="2" borderId="0" xfId="0" applyFont="1" applyFill="1" applyAlignment="1">
      <alignment horizontal="center" vertical="center" wrapText="1"/>
    </xf>
    <xf numFmtId="3" fontId="12" fillId="2" borderId="0" xfId="0" applyNumberFormat="1" applyFont="1" applyFill="1" applyAlignment="1">
      <alignment horizontal="center" vertical="center" wrapText="1"/>
    </xf>
    <xf numFmtId="165" fontId="12" fillId="2" borderId="0" xfId="0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165" fontId="12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3" fontId="18" fillId="2" borderId="0" xfId="0" applyNumberFormat="1" applyFont="1" applyFill="1" applyAlignment="1">
      <alignment horizontal="center" vertical="center"/>
    </xf>
    <xf numFmtId="165" fontId="18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165" fontId="5" fillId="2" borderId="0" xfId="0" applyNumberFormat="1" applyFont="1" applyFill="1"/>
    <xf numFmtId="0" fontId="12" fillId="2" borderId="0" xfId="0" applyFont="1" applyFill="1" applyBorder="1" applyAlignment="1">
      <alignment horizontal="center" vertical="center" wrapText="1"/>
    </xf>
    <xf numFmtId="3" fontId="12" fillId="2" borderId="0" xfId="0" applyNumberFormat="1" applyFont="1" applyFill="1" applyBorder="1" applyAlignment="1">
      <alignment horizontal="center" vertical="center" wrapText="1"/>
    </xf>
    <xf numFmtId="165" fontId="12" fillId="2" borderId="0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20" fillId="2" borderId="0" xfId="1" applyNumberFormat="1" applyFont="1" applyFill="1"/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9" fontId="5" fillId="2" borderId="1" xfId="2" applyFont="1" applyFill="1" applyBorder="1" applyAlignment="1">
      <alignment horizontal="center" vertical="center" wrapText="1"/>
    </xf>
    <xf numFmtId="9" fontId="5" fillId="2" borderId="0" xfId="2" applyFont="1" applyFill="1" applyBorder="1" applyAlignment="1">
      <alignment horizontal="center" vertical="center" wrapText="1"/>
    </xf>
    <xf numFmtId="3" fontId="5" fillId="2" borderId="0" xfId="2" applyNumberFormat="1" applyFont="1" applyFill="1" applyBorder="1" applyAlignment="1">
      <alignment horizontal="center" vertical="center" wrapText="1"/>
    </xf>
    <xf numFmtId="165" fontId="5" fillId="2" borderId="0" xfId="2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vertical="center" wrapText="1"/>
    </xf>
    <xf numFmtId="0" fontId="12" fillId="2" borderId="0" xfId="0" applyFont="1" applyFill="1"/>
    <xf numFmtId="164" fontId="18" fillId="2" borderId="0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vertical="center" wrapText="1"/>
    </xf>
    <xf numFmtId="9" fontId="7" fillId="2" borderId="1" xfId="2" applyFont="1" applyFill="1" applyBorder="1" applyAlignment="1">
      <alignment horizontal="center" vertical="center" wrapText="1"/>
    </xf>
    <xf numFmtId="9" fontId="7" fillId="2" borderId="0" xfId="2" applyFont="1" applyFill="1" applyBorder="1" applyAlignment="1">
      <alignment horizontal="center" vertical="center" wrapText="1"/>
    </xf>
    <xf numFmtId="3" fontId="7" fillId="2" borderId="0" xfId="2" applyNumberFormat="1" applyFont="1" applyFill="1" applyBorder="1" applyAlignment="1">
      <alignment horizontal="center" vertical="center" wrapText="1"/>
    </xf>
    <xf numFmtId="165" fontId="7" fillId="2" borderId="0" xfId="2" applyNumberFormat="1" applyFont="1" applyFill="1" applyBorder="1" applyAlignment="1">
      <alignment horizontal="center" vertical="center" wrapText="1"/>
    </xf>
    <xf numFmtId="164" fontId="12" fillId="2" borderId="0" xfId="2" applyNumberFormat="1" applyFont="1" applyFill="1" applyBorder="1" applyAlignment="1">
      <alignment horizontal="center" vertical="center" wrapText="1"/>
    </xf>
    <xf numFmtId="165" fontId="12" fillId="2" borderId="0" xfId="2" applyNumberFormat="1" applyFont="1" applyFill="1" applyBorder="1" applyAlignment="1">
      <alignment horizontal="center" vertical="center" wrapText="1"/>
    </xf>
    <xf numFmtId="3" fontId="12" fillId="2" borderId="0" xfId="2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165" fontId="7" fillId="2" borderId="0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9" fontId="7" fillId="2" borderId="0" xfId="0" applyNumberFormat="1" applyFont="1" applyFill="1" applyBorder="1" applyAlignment="1">
      <alignment horizontal="center" vertical="center" wrapText="1"/>
    </xf>
    <xf numFmtId="164" fontId="12" fillId="2" borderId="2" xfId="1" applyNumberFormat="1" applyFont="1" applyFill="1" applyBorder="1" applyAlignment="1">
      <alignment horizontal="right" vertical="top" wrapText="1"/>
    </xf>
    <xf numFmtId="164" fontId="12" fillId="2" borderId="2" xfId="1" applyNumberFormat="1" applyFont="1" applyFill="1" applyBorder="1" applyAlignment="1">
      <alignment horizontal="right" vertical="center" wrapText="1"/>
    </xf>
    <xf numFmtId="164" fontId="7" fillId="2" borderId="0" xfId="1" applyNumberFormat="1" applyFont="1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64" fontId="11" fillId="2" borderId="5" xfId="1" applyNumberFormat="1" applyFont="1" applyFill="1" applyBorder="1" applyAlignment="1">
      <alignment horizontal="center" vertical="center" wrapText="1"/>
    </xf>
    <xf numFmtId="164" fontId="11" fillId="2" borderId="6" xfId="1" applyNumberFormat="1" applyFont="1" applyFill="1" applyBorder="1" applyAlignment="1">
      <alignment horizontal="center" vertical="center" wrapText="1"/>
    </xf>
    <xf numFmtId="164" fontId="11" fillId="2" borderId="4" xfId="1" applyNumberFormat="1" applyFont="1" applyFill="1" applyBorder="1" applyAlignment="1">
      <alignment horizontal="center" vertical="center" wrapText="1"/>
    </xf>
    <xf numFmtId="9" fontId="11" fillId="2" borderId="5" xfId="2" applyFont="1" applyFill="1" applyBorder="1" applyAlignment="1">
      <alignment horizontal="center" vertical="center" wrapText="1"/>
    </xf>
    <xf numFmtId="9" fontId="11" fillId="2" borderId="6" xfId="2" applyFont="1" applyFill="1" applyBorder="1" applyAlignment="1">
      <alignment horizontal="center" vertical="center" wrapText="1"/>
    </xf>
    <xf numFmtId="9" fontId="11" fillId="2" borderId="4" xfId="2" applyFont="1" applyFill="1" applyBorder="1" applyAlignment="1">
      <alignment horizontal="center" vertical="center" wrapText="1"/>
    </xf>
    <xf numFmtId="164" fontId="7" fillId="2" borderId="0" xfId="1" applyNumberFormat="1" applyFont="1" applyFill="1" applyAlignment="1">
      <alignment horizontal="center"/>
    </xf>
    <xf numFmtId="164" fontId="12" fillId="2" borderId="1" xfId="1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36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workbookViewId="0">
      <selection activeCell="A11" sqref="A11"/>
    </sheetView>
  </sheetViews>
  <sheetFormatPr defaultRowHeight="15" x14ac:dyDescent="0.25"/>
  <cols>
    <col min="1" max="1" width="31.140625" style="4" customWidth="1"/>
    <col min="2" max="2" width="10.42578125" style="4" customWidth="1"/>
    <col min="3" max="3" width="11" style="4" customWidth="1"/>
    <col min="4" max="4" width="10.5703125" style="4" customWidth="1"/>
    <col min="5" max="5" width="10" style="4" customWidth="1"/>
    <col min="6" max="6" width="28.28515625" style="4" customWidth="1"/>
    <col min="7" max="7" width="9.85546875" style="4" customWidth="1"/>
    <col min="8" max="8" width="10.140625" style="4" customWidth="1"/>
    <col min="9" max="9" width="10.7109375" style="4" customWidth="1"/>
    <col min="10" max="10" width="9.7109375" style="4" customWidth="1"/>
    <col min="11" max="16384" width="9.140625" style="4"/>
  </cols>
  <sheetData>
    <row r="1" spans="1:10" ht="16.5" x14ac:dyDescent="0.25">
      <c r="A1" s="2"/>
      <c r="B1" s="3"/>
      <c r="C1" s="3"/>
      <c r="D1" s="3"/>
      <c r="E1" s="3"/>
      <c r="F1" s="3"/>
      <c r="G1" s="3"/>
      <c r="H1" s="3"/>
      <c r="I1" s="106" t="s">
        <v>165</v>
      </c>
      <c r="J1" s="106"/>
    </row>
    <row r="2" spans="1:10" ht="26.25" customHeight="1" x14ac:dyDescent="0.25">
      <c r="A2" s="107" t="s">
        <v>166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21.75" customHeight="1" x14ac:dyDescent="0.25">
      <c r="A3" s="108" t="s">
        <v>181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x14ac:dyDescent="0.25">
      <c r="J4" s="5" t="s">
        <v>2</v>
      </c>
    </row>
    <row r="5" spans="1:10" ht="37.5" customHeight="1" x14ac:dyDescent="0.25">
      <c r="A5" s="6" t="s">
        <v>167</v>
      </c>
      <c r="B5" s="6" t="s">
        <v>168</v>
      </c>
      <c r="C5" s="6" t="s">
        <v>69</v>
      </c>
      <c r="D5" s="6" t="s">
        <v>70</v>
      </c>
      <c r="E5" s="6" t="s">
        <v>71</v>
      </c>
      <c r="F5" s="6" t="s">
        <v>169</v>
      </c>
      <c r="G5" s="6" t="s">
        <v>168</v>
      </c>
      <c r="H5" s="6" t="s">
        <v>10</v>
      </c>
      <c r="I5" s="6" t="s">
        <v>11</v>
      </c>
      <c r="J5" s="6" t="s">
        <v>12</v>
      </c>
    </row>
    <row r="6" spans="1:10" s="7" customFormat="1" ht="17.25" customHeight="1" x14ac:dyDescent="0.2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ht="24" customHeight="1" x14ac:dyDescent="0.25">
      <c r="A7" s="6" t="s">
        <v>170</v>
      </c>
      <c r="B7" s="8">
        <f>SUM(C7:E7)</f>
        <v>35940332</v>
      </c>
      <c r="C7" s="9">
        <f>+C8+C21</f>
        <v>20397325</v>
      </c>
      <c r="D7" s="9">
        <f t="shared" ref="D7:E7" si="0">+D8+D21</f>
        <v>10804125</v>
      </c>
      <c r="E7" s="9">
        <f t="shared" si="0"/>
        <v>4738882</v>
      </c>
      <c r="F7" s="6" t="s">
        <v>171</v>
      </c>
      <c r="G7" s="10">
        <f>SUM(H7:J7)</f>
        <v>35748599</v>
      </c>
      <c r="H7" s="9">
        <f>+H8+H21</f>
        <v>20295281</v>
      </c>
      <c r="I7" s="9">
        <f t="shared" ref="I7:J7" si="1">+I8+I21</f>
        <v>10739377</v>
      </c>
      <c r="J7" s="9">
        <f t="shared" si="1"/>
        <v>4713941</v>
      </c>
    </row>
    <row r="8" spans="1:10" ht="24" customHeight="1" x14ac:dyDescent="0.25">
      <c r="A8" s="11" t="s">
        <v>188</v>
      </c>
      <c r="B8" s="8">
        <f>SUM(C8:E8)</f>
        <v>35812398</v>
      </c>
      <c r="C8" s="8">
        <f>+C9+C10+C11+C12+C13+C14+C15+C18</f>
        <v>20269391</v>
      </c>
      <c r="D8" s="8">
        <f t="shared" ref="D8:E8" si="2">+D9+D10+D11+D12+D13+D14+D15+D18</f>
        <v>10804125</v>
      </c>
      <c r="E8" s="8">
        <f t="shared" si="2"/>
        <v>4738882</v>
      </c>
      <c r="F8" s="11" t="s">
        <v>196</v>
      </c>
      <c r="G8" s="10">
        <f>SUM(H8:J8)</f>
        <v>35740740</v>
      </c>
      <c r="H8" s="10">
        <f>+SUM(H9:H15)</f>
        <v>20287422</v>
      </c>
      <c r="I8" s="10">
        <f t="shared" ref="I8:J8" si="3">+SUM(I9:I15)</f>
        <v>10739377</v>
      </c>
      <c r="J8" s="10">
        <f t="shared" si="3"/>
        <v>4713941</v>
      </c>
    </row>
    <row r="9" spans="1:10" ht="22.5" customHeight="1" x14ac:dyDescent="0.25">
      <c r="A9" s="12" t="s">
        <v>189</v>
      </c>
      <c r="B9" s="13">
        <f t="shared" ref="B9:B10" si="4">SUM(C9:E9)</f>
        <v>6855947</v>
      </c>
      <c r="C9" s="14">
        <f>+'MB 61 thu 2020'!G14+'MB 61 thu 2020'!G19+'MB 61 thu 2020'!G24+'MB 61 thu 2020'!G31+'MB 61 thu 2020'!G36+'MB 61 thu 2020'!G37+'MB 61 thu 2020'!G38+'MB 61 thu 2020'!G39+'MB 61 thu 2020'!G44+'MB 61 thu 2020'!G45+'MB 61 thu 2020'!G61+'MB 61 thu 2020'!G62+'MB 61 thu 2020'!G63+'MB 61 thu 2020'!G84+'MB 61 thu 2020'!G86</f>
        <v>3812661</v>
      </c>
      <c r="D9" s="14">
        <f>+'MB 61 thu 2020'!H14+'MB 61 thu 2020'!H19+'MB 61 thu 2020'!H24+'MB 61 thu 2020'!H31+'MB 61 thu 2020'!H36+'MB 61 thu 2020'!H37+'MB 61 thu 2020'!H38+'MB 61 thu 2020'!H39+'MB 61 thu 2020'!H44+'MB 61 thu 2020'!H45+'MB 61 thu 2020'!H61+'MB 61 thu 2020'!H62+'MB 61 thu 2020'!H63+'MB 61 thu 2020'!H84+'MB 61 thu 2020'!H86</f>
        <v>1970957</v>
      </c>
      <c r="E9" s="14">
        <f>+'MB 61 thu 2020'!I14+'MB 61 thu 2020'!I19+'MB 61 thu 2020'!I24+'MB 61 thu 2020'!I31+'MB 61 thu 2020'!I36+'MB 61 thu 2020'!I37+'MB 61 thu 2020'!I38+'MB 61 thu 2020'!I39+'MB 61 thu 2020'!I44+'MB 61 thu 2020'!I45+'MB 61 thu 2020'!I61+'MB 61 thu 2020'!I62+'MB 61 thu 2020'!I63+'MB 61 thu 2020'!I84+'MB 61 thu 2020'!I86-1</f>
        <v>1072329</v>
      </c>
      <c r="F9" s="12" t="s">
        <v>182</v>
      </c>
      <c r="G9" s="15">
        <f t="shared" ref="G9:G15" si="5">SUM(H9:J9)</f>
        <v>7088101</v>
      </c>
      <c r="H9" s="15">
        <f>+'MB 62 chi 2020'!F10</f>
        <v>3588537</v>
      </c>
      <c r="I9" s="15">
        <f>+'MB 62 chi 2020'!G10</f>
        <v>1461424</v>
      </c>
      <c r="J9" s="15">
        <f>+'MB 62 chi 2020'!H10</f>
        <v>2038140</v>
      </c>
    </row>
    <row r="10" spans="1:10" ht="22.5" customHeight="1" x14ac:dyDescent="0.25">
      <c r="A10" s="12" t="s">
        <v>190</v>
      </c>
      <c r="B10" s="13">
        <f t="shared" si="4"/>
        <v>442882</v>
      </c>
      <c r="C10" s="13">
        <f>+'MB 61 thu 2020'!G40+'MB 61 thu 2020'!G43+'MB 61 thu 2020'!G56+'MB 61 thu 2020'!G58</f>
        <v>364825</v>
      </c>
      <c r="D10" s="13">
        <f>+'MB 61 thu 2020'!H40+'MB 61 thu 2020'!H43+'MB 61 thu 2020'!H56+'MB 61 thu 2020'!H58</f>
        <v>44184</v>
      </c>
      <c r="E10" s="13">
        <f>+'MB 61 thu 2020'!I40+'MB 61 thu 2020'!I43+'MB 61 thu 2020'!I56+'MB 61 thu 2020'!I58</f>
        <v>33873</v>
      </c>
      <c r="F10" s="12" t="s">
        <v>183</v>
      </c>
      <c r="G10" s="15">
        <f t="shared" si="5"/>
        <v>1266</v>
      </c>
      <c r="H10" s="16">
        <f>+'MB 62 chi 2020'!F41</f>
        <v>1266</v>
      </c>
      <c r="I10" s="16">
        <f>+'MB 62 chi 2020'!G41</f>
        <v>0</v>
      </c>
      <c r="J10" s="16">
        <f>+'MB 62 chi 2020'!H41</f>
        <v>0</v>
      </c>
    </row>
    <row r="11" spans="1:10" ht="22.5" customHeight="1" x14ac:dyDescent="0.25">
      <c r="A11" s="12" t="s">
        <v>191</v>
      </c>
      <c r="B11" s="13">
        <f>SUM(C11:E11)</f>
        <v>200000</v>
      </c>
      <c r="C11" s="1">
        <f>+'MB 61 thu 2020'!G89</f>
        <v>200000</v>
      </c>
      <c r="D11" s="17">
        <v>0</v>
      </c>
      <c r="E11" s="17">
        <v>0</v>
      </c>
      <c r="F11" s="12" t="s">
        <v>184</v>
      </c>
      <c r="G11" s="15">
        <f t="shared" si="5"/>
        <v>10549648</v>
      </c>
      <c r="H11" s="15">
        <f>+'MB 62 chi 2020'!F27</f>
        <v>3739129</v>
      </c>
      <c r="I11" s="15">
        <f>+'MB 62 chi 2020'!G27</f>
        <v>4606041</v>
      </c>
      <c r="J11" s="15">
        <f>+'MB 62 chi 2020'!H27</f>
        <v>2204478</v>
      </c>
    </row>
    <row r="12" spans="1:10" ht="22.5" customHeight="1" x14ac:dyDescent="0.25">
      <c r="A12" s="12" t="s">
        <v>192</v>
      </c>
      <c r="B12" s="13">
        <f t="shared" ref="B12:B18" si="6">SUM(C12:E12)</f>
        <v>186519</v>
      </c>
      <c r="C12" s="15">
        <f>+'MB 61 thu 2020'!G113</f>
        <v>54856</v>
      </c>
      <c r="D12" s="15">
        <f>+'MB 61 thu 2020'!H113</f>
        <v>114956</v>
      </c>
      <c r="E12" s="15">
        <f>+'MB 61 thu 2020'!I113</f>
        <v>16707</v>
      </c>
      <c r="F12" s="12" t="s">
        <v>185</v>
      </c>
      <c r="G12" s="15">
        <f t="shared" si="5"/>
        <v>1340</v>
      </c>
      <c r="H12" s="1">
        <f>+'MB 62 chi 2020'!F44</f>
        <v>1340</v>
      </c>
      <c r="I12" s="1">
        <f>+'MB 62 chi 2020'!G44</f>
        <v>0</v>
      </c>
      <c r="J12" s="1">
        <f>+'MB 62 chi 2020'!H44</f>
        <v>0</v>
      </c>
    </row>
    <row r="13" spans="1:10" ht="27.75" customHeight="1" x14ac:dyDescent="0.25">
      <c r="A13" s="12" t="s">
        <v>193</v>
      </c>
      <c r="B13" s="13">
        <f t="shared" si="6"/>
        <v>6326483</v>
      </c>
      <c r="C13" s="15">
        <f>+'MB 61 thu 2020'!G112</f>
        <v>4877684</v>
      </c>
      <c r="D13" s="15">
        <f>+'MB 61 thu 2020'!H112</f>
        <v>1119015</v>
      </c>
      <c r="E13" s="15">
        <f>+'MB 61 thu 2020'!I112</f>
        <v>329784</v>
      </c>
      <c r="F13" s="12" t="s">
        <v>186</v>
      </c>
      <c r="G13" s="15">
        <f t="shared" si="5"/>
        <v>10833409</v>
      </c>
      <c r="H13" s="1">
        <f>+'MB 62 chi 2020'!F46</f>
        <v>7547221</v>
      </c>
      <c r="I13" s="1">
        <f>+'MB 62 chi 2020'!G46</f>
        <v>3286188</v>
      </c>
      <c r="J13" s="1">
        <f>+'MB 62 chi 2020'!H46</f>
        <v>0</v>
      </c>
    </row>
    <row r="14" spans="1:10" ht="24" customHeight="1" x14ac:dyDescent="0.25">
      <c r="A14" s="12" t="s">
        <v>194</v>
      </c>
      <c r="B14" s="13">
        <f t="shared" si="6"/>
        <v>0</v>
      </c>
      <c r="C14" s="16">
        <v>0</v>
      </c>
      <c r="D14" s="16">
        <v>0</v>
      </c>
      <c r="E14" s="16">
        <v>0</v>
      </c>
      <c r="F14" s="12" t="s">
        <v>187</v>
      </c>
      <c r="G14" s="15">
        <f t="shared" si="5"/>
        <v>7259184</v>
      </c>
      <c r="H14" s="1">
        <f>+'MB 62 chi 2020'!F42</f>
        <v>5409929</v>
      </c>
      <c r="I14" s="1">
        <f>+'MB 62 chi 2020'!G42</f>
        <v>1385724</v>
      </c>
      <c r="J14" s="1">
        <f>+'MB 62 chi 2020'!H42</f>
        <v>463531</v>
      </c>
    </row>
    <row r="15" spans="1:10" ht="27.75" customHeight="1" x14ac:dyDescent="0.25">
      <c r="A15" s="12" t="s">
        <v>195</v>
      </c>
      <c r="B15" s="13">
        <f t="shared" si="6"/>
        <v>21792775</v>
      </c>
      <c r="C15" s="13">
        <v>10959365</v>
      </c>
      <c r="D15" s="13">
        <v>7547221</v>
      </c>
      <c r="E15" s="13">
        <v>3286189</v>
      </c>
      <c r="F15" s="12" t="s">
        <v>177</v>
      </c>
      <c r="G15" s="15">
        <f t="shared" si="5"/>
        <v>7792</v>
      </c>
      <c r="H15" s="18">
        <f>+'MB 62 chi 2020'!F51</f>
        <v>0</v>
      </c>
      <c r="I15" s="18">
        <f>+'MB 62 chi 2020'!G51</f>
        <v>0</v>
      </c>
      <c r="J15" s="18">
        <f>+'MB 62 chi 2020'!H51</f>
        <v>7792</v>
      </c>
    </row>
    <row r="16" spans="1:10" ht="21" customHeight="1" x14ac:dyDescent="0.25">
      <c r="A16" s="12" t="s">
        <v>172</v>
      </c>
      <c r="B16" s="13">
        <f t="shared" si="6"/>
        <v>13242833</v>
      </c>
      <c r="C16" s="15">
        <f>+'MB 61 thu 2020'!G104</f>
        <v>6728956</v>
      </c>
      <c r="D16" s="15">
        <f>+'MB 61 thu 2020'!H104</f>
        <v>5506558</v>
      </c>
      <c r="E16" s="15">
        <f>+'MB 61 thu 2020'!I104</f>
        <v>1007319</v>
      </c>
      <c r="F16" s="12"/>
      <c r="G16" s="18"/>
      <c r="H16" s="18"/>
      <c r="I16" s="18"/>
      <c r="J16" s="18"/>
    </row>
    <row r="17" spans="1:10" ht="21" customHeight="1" x14ac:dyDescent="0.25">
      <c r="A17" s="12" t="s">
        <v>173</v>
      </c>
      <c r="B17" s="13">
        <f t="shared" si="6"/>
        <v>8549941</v>
      </c>
      <c r="C17" s="15">
        <f>+'MB 61 thu 2020'!G105</f>
        <v>4230409</v>
      </c>
      <c r="D17" s="15">
        <f>+'MB 61 thu 2020'!H105</f>
        <v>2040663</v>
      </c>
      <c r="E17" s="15">
        <f>+'MB 61 thu 2020'!I105</f>
        <v>2278869</v>
      </c>
      <c r="F17" s="12"/>
      <c r="G17" s="18"/>
      <c r="H17" s="18"/>
      <c r="I17" s="18"/>
      <c r="J17" s="18"/>
    </row>
    <row r="18" spans="1:10" ht="21" customHeight="1" x14ac:dyDescent="0.25">
      <c r="A18" s="12" t="s">
        <v>176</v>
      </c>
      <c r="B18" s="13">
        <f t="shared" si="6"/>
        <v>7792</v>
      </c>
      <c r="C18" s="15">
        <f>+'MB 61 thu 2020'!G111</f>
        <v>0</v>
      </c>
      <c r="D18" s="15">
        <f>+'MB 61 thu 2020'!H111</f>
        <v>7792</v>
      </c>
      <c r="E18" s="15">
        <f>+'MB 61 thu 2020'!I111</f>
        <v>0</v>
      </c>
      <c r="F18" s="12"/>
      <c r="G18" s="18"/>
      <c r="H18" s="18"/>
      <c r="I18" s="18"/>
      <c r="J18" s="18"/>
    </row>
    <row r="19" spans="1:10" ht="33.75" customHeight="1" x14ac:dyDescent="0.25">
      <c r="A19" s="11" t="s">
        <v>174</v>
      </c>
      <c r="B19" s="8">
        <f>+B7-G7</f>
        <v>191733</v>
      </c>
      <c r="C19" s="8">
        <f t="shared" ref="C19:E19" si="7">+C7-H7</f>
        <v>102044</v>
      </c>
      <c r="D19" s="8">
        <f t="shared" si="7"/>
        <v>64748</v>
      </c>
      <c r="E19" s="8">
        <f t="shared" si="7"/>
        <v>24941</v>
      </c>
      <c r="F19" s="109"/>
      <c r="G19" s="104"/>
      <c r="H19" s="110"/>
      <c r="I19" s="104"/>
      <c r="J19" s="104"/>
    </row>
    <row r="20" spans="1:10" ht="22.5" customHeight="1" x14ac:dyDescent="0.25">
      <c r="A20" s="105" t="s">
        <v>178</v>
      </c>
      <c r="B20" s="105"/>
      <c r="C20" s="105"/>
      <c r="D20" s="19"/>
      <c r="E20" s="19"/>
      <c r="F20" s="109"/>
      <c r="G20" s="104"/>
      <c r="H20" s="110"/>
      <c r="I20" s="104"/>
      <c r="J20" s="104"/>
    </row>
    <row r="21" spans="1:10" ht="33.75" customHeight="1" x14ac:dyDescent="0.25">
      <c r="A21" s="11" t="s">
        <v>198</v>
      </c>
      <c r="B21" s="86">
        <f>+C21+D21+E21</f>
        <v>127934</v>
      </c>
      <c r="C21" s="20">
        <f>+'MB 61 thu 2020'!G95</f>
        <v>127934</v>
      </c>
      <c r="D21" s="20">
        <f>+'MB 61 thu 2020'!H95</f>
        <v>0</v>
      </c>
      <c r="E21" s="20">
        <f>+'MB 61 thu 2020'!I95</f>
        <v>0</v>
      </c>
      <c r="F21" s="11" t="s">
        <v>197</v>
      </c>
      <c r="G21" s="9">
        <f>+H21+I21+J21</f>
        <v>7859</v>
      </c>
      <c r="H21" s="9">
        <f>+'MB 62 chi 2020'!F52</f>
        <v>7859</v>
      </c>
      <c r="I21" s="6">
        <f>+'MB 62 chi 2020'!G52</f>
        <v>0</v>
      </c>
      <c r="J21" s="6">
        <f>+'MB 62 chi 2020'!H52</f>
        <v>0</v>
      </c>
    </row>
    <row r="23" spans="1:10" x14ac:dyDescent="0.25">
      <c r="F23" s="103" t="s">
        <v>179</v>
      </c>
      <c r="G23" s="103"/>
      <c r="H23" s="103"/>
      <c r="I23" s="103"/>
      <c r="J23" s="103"/>
    </row>
  </sheetData>
  <mergeCells count="10">
    <mergeCell ref="F23:J23"/>
    <mergeCell ref="J19:J20"/>
    <mergeCell ref="A20:C20"/>
    <mergeCell ref="I1:J1"/>
    <mergeCell ref="A2:J2"/>
    <mergeCell ref="A3:J3"/>
    <mergeCell ref="F19:F20"/>
    <mergeCell ref="G19:G20"/>
    <mergeCell ref="H19:H20"/>
    <mergeCell ref="I19:I20"/>
  </mergeCells>
  <pageMargins left="0.25" right="0.25" top="0.48" bottom="0.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16"/>
  <sheetViews>
    <sheetView tabSelected="1" topLeftCell="A3" zoomScale="110" zoomScaleNormal="110" workbookViewId="0">
      <selection activeCell="B55" sqref="B55"/>
    </sheetView>
  </sheetViews>
  <sheetFormatPr defaultRowHeight="15" x14ac:dyDescent="0.25"/>
  <cols>
    <col min="1" max="1" width="4.7109375" style="21" customWidth="1"/>
    <col min="2" max="2" width="39.42578125" style="21" customWidth="1"/>
    <col min="3" max="3" width="12.7109375" style="21" customWidth="1"/>
    <col min="4" max="4" width="12.42578125" style="21" customWidth="1"/>
    <col min="5" max="5" width="12.5703125" style="21" customWidth="1"/>
    <col min="6" max="6" width="11.7109375" style="21" customWidth="1"/>
    <col min="7" max="8" width="13" style="21" customWidth="1"/>
    <col min="9" max="9" width="11.5703125" style="21" customWidth="1"/>
    <col min="10" max="11" width="11.5703125" style="21" bestFit="1" customWidth="1"/>
    <col min="12" max="12" width="13.28515625" style="21" bestFit="1" customWidth="1"/>
    <col min="13" max="14" width="14.140625" style="21" customWidth="1"/>
    <col min="15" max="16384" width="9.140625" style="21"/>
  </cols>
  <sheetData>
    <row r="1" spans="1:12" ht="15" customHeight="1" x14ac:dyDescent="0.25">
      <c r="A1" s="45"/>
      <c r="B1" s="46"/>
      <c r="C1" s="45"/>
      <c r="D1" s="45"/>
      <c r="E1" s="45"/>
      <c r="F1" s="45"/>
      <c r="G1" s="45"/>
      <c r="H1" s="45"/>
      <c r="I1" s="45"/>
      <c r="J1" s="112" t="s">
        <v>59</v>
      </c>
      <c r="K1" s="112"/>
    </row>
    <row r="2" spans="1:12" ht="16.5" x14ac:dyDescent="0.25">
      <c r="A2" s="113" t="s">
        <v>60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2" x14ac:dyDescent="0.25">
      <c r="A3" s="114" t="str">
        <f>'MB 60 cân đối'!A3:J3</f>
        <v>(Kèm theo Báo cáo số          /BC-UBND ngày ….../12/2021 của UBND tỉnh)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2" x14ac:dyDescent="0.2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2" x14ac:dyDescent="0.25">
      <c r="A5" s="22"/>
      <c r="B5" s="22"/>
      <c r="C5" s="22"/>
      <c r="D5" s="22"/>
      <c r="E5" s="84"/>
      <c r="F5" s="22"/>
      <c r="G5" s="22"/>
      <c r="H5" s="22"/>
      <c r="I5" s="22"/>
      <c r="J5" s="116" t="s">
        <v>61</v>
      </c>
      <c r="K5" s="116"/>
    </row>
    <row r="6" spans="1:12" ht="24" customHeight="1" x14ac:dyDescent="0.25">
      <c r="A6" s="117" t="s">
        <v>62</v>
      </c>
      <c r="B6" s="117" t="s">
        <v>63</v>
      </c>
      <c r="C6" s="117" t="s">
        <v>64</v>
      </c>
      <c r="D6" s="117"/>
      <c r="E6" s="117" t="s">
        <v>65</v>
      </c>
      <c r="F6" s="117" t="s">
        <v>66</v>
      </c>
      <c r="G6" s="117"/>
      <c r="H6" s="117"/>
      <c r="I6" s="117"/>
      <c r="J6" s="117" t="s">
        <v>67</v>
      </c>
      <c r="K6" s="117"/>
    </row>
    <row r="7" spans="1:12" ht="31.5" customHeight="1" x14ac:dyDescent="0.25">
      <c r="A7" s="117"/>
      <c r="B7" s="117"/>
      <c r="C7" s="23" t="s">
        <v>7</v>
      </c>
      <c r="D7" s="23" t="s">
        <v>8</v>
      </c>
      <c r="E7" s="117"/>
      <c r="F7" s="23" t="s">
        <v>68</v>
      </c>
      <c r="G7" s="23" t="s">
        <v>69</v>
      </c>
      <c r="H7" s="23" t="s">
        <v>70</v>
      </c>
      <c r="I7" s="23" t="s">
        <v>71</v>
      </c>
      <c r="J7" s="23" t="s">
        <v>7</v>
      </c>
      <c r="K7" s="23" t="s">
        <v>8</v>
      </c>
    </row>
    <row r="8" spans="1:12" ht="35.25" customHeight="1" x14ac:dyDescent="0.25">
      <c r="A8" s="24" t="s">
        <v>13</v>
      </c>
      <c r="B8" s="24" t="s">
        <v>14</v>
      </c>
      <c r="C8" s="24">
        <v>1</v>
      </c>
      <c r="D8" s="24">
        <v>2</v>
      </c>
      <c r="E8" s="24" t="s">
        <v>72</v>
      </c>
      <c r="F8" s="24">
        <v>4</v>
      </c>
      <c r="G8" s="24">
        <v>5</v>
      </c>
      <c r="H8" s="24">
        <v>6</v>
      </c>
      <c r="I8" s="24">
        <v>7</v>
      </c>
      <c r="J8" s="24" t="s">
        <v>73</v>
      </c>
      <c r="K8" s="24" t="s">
        <v>74</v>
      </c>
    </row>
    <row r="9" spans="1:12" s="32" customFormat="1" ht="22.5" customHeight="1" x14ac:dyDescent="0.2">
      <c r="A9" s="85"/>
      <c r="B9" s="85" t="s">
        <v>75</v>
      </c>
      <c r="C9" s="25">
        <f>SUM(C12,C102,C95,C112)</f>
        <v>16282297</v>
      </c>
      <c r="D9" s="25">
        <f>SUM(D12,D102,D95,D112)</f>
        <v>17993052</v>
      </c>
      <c r="E9" s="25">
        <f>SUM(F9:I9)</f>
        <v>41451700</v>
      </c>
      <c r="F9" s="25">
        <f>SUM(F10,F95,F102,F112,F113)</f>
        <v>5511368</v>
      </c>
      <c r="G9" s="25">
        <f>SUM(G10,G95,G102,G112,G113)</f>
        <v>20397325</v>
      </c>
      <c r="H9" s="25">
        <f>SUM(H10,H95,H102,H112,H113)</f>
        <v>10804125</v>
      </c>
      <c r="I9" s="25">
        <f>SUM(I10,I95,I102,I112,I113)</f>
        <v>4738882</v>
      </c>
      <c r="J9" s="30">
        <f>E9/C9</f>
        <v>2.5458140212035194</v>
      </c>
      <c r="K9" s="30">
        <f>+E9/D9</f>
        <v>2.3037614741512447</v>
      </c>
      <c r="L9" s="31"/>
    </row>
    <row r="10" spans="1:12" s="32" customFormat="1" ht="32.25" customHeight="1" x14ac:dyDescent="0.2">
      <c r="A10" s="85" t="s">
        <v>13</v>
      </c>
      <c r="B10" s="28" t="s">
        <v>76</v>
      </c>
      <c r="C10" s="29">
        <f>SUM(C13,C75,C64,C85,C86,C89)</f>
        <v>12661000</v>
      </c>
      <c r="D10" s="29">
        <f>SUM(D13,D75,D64,D86,D89)</f>
        <v>14071775</v>
      </c>
      <c r="E10" s="29">
        <f>+E11+E12</f>
        <v>13010198</v>
      </c>
      <c r="F10" s="29">
        <f t="shared" ref="F10:I10" si="0">+F11+F12</f>
        <v>5511368</v>
      </c>
      <c r="G10" s="29">
        <f t="shared" si="0"/>
        <v>4377486</v>
      </c>
      <c r="H10" s="29">
        <f t="shared" si="0"/>
        <v>2015141</v>
      </c>
      <c r="I10" s="29">
        <f t="shared" si="0"/>
        <v>1106203</v>
      </c>
      <c r="J10" s="30">
        <f t="shared" ref="J10:J63" si="1">E10/C10</f>
        <v>1.0275806018481952</v>
      </c>
      <c r="K10" s="30">
        <f t="shared" ref="K10:K63" si="2">+E10/D10</f>
        <v>0.92455983697863275</v>
      </c>
      <c r="L10" s="31"/>
    </row>
    <row r="11" spans="1:12" ht="19.5" customHeight="1" x14ac:dyDescent="0.25">
      <c r="A11" s="23"/>
      <c r="B11" s="33" t="s">
        <v>77</v>
      </c>
      <c r="C11" s="34">
        <f>+C10-C12</f>
        <v>7312420</v>
      </c>
      <c r="D11" s="34">
        <v>7412420</v>
      </c>
      <c r="E11" s="34">
        <f>+F11+G11+H11+I11</f>
        <v>5511368</v>
      </c>
      <c r="F11" s="34">
        <f>+F13+F64+F75+F85+F86+F89</f>
        <v>5511368</v>
      </c>
      <c r="G11" s="34"/>
      <c r="H11" s="34"/>
      <c r="I11" s="34"/>
      <c r="J11" s="26">
        <f t="shared" si="1"/>
        <v>0.75369959602976855</v>
      </c>
      <c r="K11" s="26">
        <f t="shared" si="2"/>
        <v>0.74353153221215207</v>
      </c>
      <c r="L11" s="35"/>
    </row>
    <row r="12" spans="1:12" ht="19.5" customHeight="1" x14ac:dyDescent="0.25">
      <c r="A12" s="23"/>
      <c r="B12" s="33" t="s">
        <v>78</v>
      </c>
      <c r="C12" s="34">
        <v>5348580</v>
      </c>
      <c r="D12" s="34">
        <v>6659335</v>
      </c>
      <c r="E12" s="34">
        <f>+F12+G12+H12+I12</f>
        <v>7498830</v>
      </c>
      <c r="F12" s="34"/>
      <c r="G12" s="34">
        <f>+G13+G64+G75+G85+G86+G89</f>
        <v>4377486</v>
      </c>
      <c r="H12" s="34">
        <f t="shared" ref="H12:I12" si="3">+H13+H64+H75+H85+H86+H89</f>
        <v>2015141</v>
      </c>
      <c r="I12" s="34">
        <f t="shared" si="3"/>
        <v>1106203</v>
      </c>
      <c r="J12" s="26">
        <f t="shared" si="1"/>
        <v>1.4020225929125114</v>
      </c>
      <c r="K12" s="26">
        <f t="shared" si="2"/>
        <v>1.1260628876607048</v>
      </c>
      <c r="L12" s="36"/>
    </row>
    <row r="13" spans="1:12" s="32" customFormat="1" ht="21" customHeight="1" x14ac:dyDescent="0.2">
      <c r="A13" s="85" t="s">
        <v>19</v>
      </c>
      <c r="B13" s="28" t="s">
        <v>79</v>
      </c>
      <c r="C13" s="29">
        <f>SUM(C14,C19,C24,C31,C36,C37,C38,C39,C40,C43,C44,C45,C56,C58,C61,C62,C63)</f>
        <v>5961000</v>
      </c>
      <c r="D13" s="29">
        <f>SUM(D14,D24,D31,D36,D37,D38,D39,D40,D43,D44,D45,D56,D58,D61,D62,D63)</f>
        <v>7200000</v>
      </c>
      <c r="E13" s="29">
        <f>SUM(E14,E19,E24,E31,E36,E37,E38,E39,E40,E43,E44,E45,E56,E58,E61,E62,E63)</f>
        <v>7988072</v>
      </c>
      <c r="F13" s="29">
        <f>SUM(F14,F19,F24,F31,F36,F37,F38,F39,F40,F43,F44,F45,F56,F58,F61,F62,F63)</f>
        <v>723903</v>
      </c>
      <c r="G13" s="29">
        <f t="shared" ref="G13:I13" si="4">SUM(G14,G19,G24,G31,G36,G37,G38,G39,G40,G43,G44,G45,G56,G58,G61,G62,G63)</f>
        <v>4154833</v>
      </c>
      <c r="H13" s="29">
        <f t="shared" si="4"/>
        <v>2015094</v>
      </c>
      <c r="I13" s="29">
        <f t="shared" si="4"/>
        <v>1094242</v>
      </c>
      <c r="J13" s="30">
        <f t="shared" si="1"/>
        <v>1.3400556953531286</v>
      </c>
      <c r="K13" s="30">
        <f t="shared" si="2"/>
        <v>1.1094544444444445</v>
      </c>
    </row>
    <row r="14" spans="1:12" ht="29.25" customHeight="1" x14ac:dyDescent="0.25">
      <c r="A14" s="23">
        <v>1</v>
      </c>
      <c r="B14" s="28" t="s">
        <v>80</v>
      </c>
      <c r="C14" s="34">
        <f>SUM(C15,C16,C17,C18)</f>
        <v>1127000</v>
      </c>
      <c r="D14" s="118">
        <v>1282000</v>
      </c>
      <c r="E14" s="34">
        <f>SUM(E15:E18)</f>
        <v>1081532</v>
      </c>
      <c r="F14" s="34">
        <f t="shared" ref="F14:I14" si="5">SUM(F15:F18)</f>
        <v>0</v>
      </c>
      <c r="G14" s="34">
        <f t="shared" si="5"/>
        <v>1077666</v>
      </c>
      <c r="H14" s="34">
        <f t="shared" si="5"/>
        <v>3851</v>
      </c>
      <c r="I14" s="34">
        <f t="shared" si="5"/>
        <v>15</v>
      </c>
      <c r="J14" s="26">
        <f t="shared" si="1"/>
        <v>0.95965572315882874</v>
      </c>
      <c r="K14" s="121">
        <f>+(E19+E14)/D14</f>
        <v>0.9223541341653666</v>
      </c>
      <c r="L14" s="37"/>
    </row>
    <row r="15" spans="1:12" ht="16.5" customHeight="1" x14ac:dyDescent="0.25">
      <c r="A15" s="24"/>
      <c r="B15" s="33" t="s">
        <v>81</v>
      </c>
      <c r="C15" s="34">
        <v>555200</v>
      </c>
      <c r="D15" s="119"/>
      <c r="E15" s="34">
        <f>SUM(F15:I15)</f>
        <v>580851</v>
      </c>
      <c r="F15" s="34"/>
      <c r="G15" s="38">
        <v>578641</v>
      </c>
      <c r="H15" s="38">
        <v>2195</v>
      </c>
      <c r="I15" s="38">
        <v>15</v>
      </c>
      <c r="J15" s="26">
        <f t="shared" si="1"/>
        <v>1.0462013688760807</v>
      </c>
      <c r="K15" s="122"/>
    </row>
    <row r="16" spans="1:12" ht="16.5" customHeight="1" x14ac:dyDescent="0.25">
      <c r="A16" s="24"/>
      <c r="B16" s="33" t="s">
        <v>82</v>
      </c>
      <c r="C16" s="34">
        <v>23800</v>
      </c>
      <c r="D16" s="119"/>
      <c r="E16" s="34">
        <f t="shared" ref="E16:E39" si="6">SUM(F16:I16)</f>
        <v>21853</v>
      </c>
      <c r="F16" s="34"/>
      <c r="G16" s="38">
        <v>20197</v>
      </c>
      <c r="H16" s="38">
        <v>1656</v>
      </c>
      <c r="I16" s="38">
        <v>0</v>
      </c>
      <c r="J16" s="26">
        <f t="shared" si="1"/>
        <v>0.91819327731092437</v>
      </c>
      <c r="K16" s="122"/>
    </row>
    <row r="17" spans="1:11" ht="16.5" customHeight="1" x14ac:dyDescent="0.25">
      <c r="A17" s="24"/>
      <c r="B17" s="33" t="s">
        <v>83</v>
      </c>
      <c r="C17" s="34">
        <v>546000</v>
      </c>
      <c r="D17" s="119"/>
      <c r="E17" s="34">
        <f t="shared" si="6"/>
        <v>477557</v>
      </c>
      <c r="F17" s="34"/>
      <c r="G17" s="38">
        <v>477557</v>
      </c>
      <c r="H17" s="38">
        <v>0</v>
      </c>
      <c r="I17" s="38">
        <v>0</v>
      </c>
      <c r="J17" s="26">
        <f t="shared" si="1"/>
        <v>0.87464652014652011</v>
      </c>
      <c r="K17" s="122"/>
    </row>
    <row r="18" spans="1:11" ht="16.5" customHeight="1" x14ac:dyDescent="0.25">
      <c r="A18" s="24"/>
      <c r="B18" s="33" t="s">
        <v>84</v>
      </c>
      <c r="C18" s="34">
        <v>2000</v>
      </c>
      <c r="D18" s="119"/>
      <c r="E18" s="34">
        <f t="shared" si="6"/>
        <v>1271</v>
      </c>
      <c r="F18" s="34"/>
      <c r="G18" s="38">
        <v>1271</v>
      </c>
      <c r="H18" s="38">
        <v>0</v>
      </c>
      <c r="I18" s="38">
        <v>0</v>
      </c>
      <c r="J18" s="26">
        <f t="shared" si="1"/>
        <v>0.63549999999999995</v>
      </c>
      <c r="K18" s="122"/>
    </row>
    <row r="19" spans="1:11" ht="26.25" customHeight="1" x14ac:dyDescent="0.25">
      <c r="A19" s="23">
        <v>2</v>
      </c>
      <c r="B19" s="28" t="s">
        <v>85</v>
      </c>
      <c r="C19" s="34">
        <f>SUM(C20,C21,C22,C23)</f>
        <v>130000</v>
      </c>
      <c r="D19" s="119"/>
      <c r="E19" s="34">
        <f>SUM(E20:E23)</f>
        <v>100926</v>
      </c>
      <c r="F19" s="34">
        <f t="shared" ref="F19:I19" si="7">SUM(F20:F23)</f>
        <v>0</v>
      </c>
      <c r="G19" s="34">
        <f t="shared" si="7"/>
        <v>97504</v>
      </c>
      <c r="H19" s="34">
        <f t="shared" si="7"/>
        <v>3403</v>
      </c>
      <c r="I19" s="34">
        <f t="shared" si="7"/>
        <v>19</v>
      </c>
      <c r="J19" s="26">
        <f t="shared" si="1"/>
        <v>0.77635384615384617</v>
      </c>
      <c r="K19" s="122"/>
    </row>
    <row r="20" spans="1:11" ht="14.25" customHeight="1" x14ac:dyDescent="0.25">
      <c r="A20" s="24"/>
      <c r="B20" s="33" t="s">
        <v>81</v>
      </c>
      <c r="C20" s="34">
        <v>102500</v>
      </c>
      <c r="D20" s="119"/>
      <c r="E20" s="34">
        <f t="shared" si="6"/>
        <v>69110</v>
      </c>
      <c r="F20" s="34"/>
      <c r="G20" s="38">
        <v>67567</v>
      </c>
      <c r="H20" s="38">
        <v>1534</v>
      </c>
      <c r="I20" s="38">
        <v>9</v>
      </c>
      <c r="J20" s="26">
        <f t="shared" si="1"/>
        <v>0.67424390243902443</v>
      </c>
      <c r="K20" s="122"/>
    </row>
    <row r="21" spans="1:11" ht="14.25" customHeight="1" x14ac:dyDescent="0.25">
      <c r="A21" s="24"/>
      <c r="B21" s="33" t="s">
        <v>82</v>
      </c>
      <c r="C21" s="34">
        <v>23700</v>
      </c>
      <c r="D21" s="119"/>
      <c r="E21" s="34">
        <f t="shared" si="6"/>
        <v>24343</v>
      </c>
      <c r="F21" s="34"/>
      <c r="G21" s="38">
        <v>22464</v>
      </c>
      <c r="H21" s="38">
        <v>1869</v>
      </c>
      <c r="I21" s="38">
        <v>10</v>
      </c>
      <c r="J21" s="26">
        <f t="shared" si="1"/>
        <v>1.0271308016877636</v>
      </c>
      <c r="K21" s="122"/>
    </row>
    <row r="22" spans="1:11" ht="14.25" customHeight="1" x14ac:dyDescent="0.25">
      <c r="A22" s="24"/>
      <c r="B22" s="33" t="s">
        <v>83</v>
      </c>
      <c r="C22" s="34">
        <v>200</v>
      </c>
      <c r="D22" s="119"/>
      <c r="E22" s="34">
        <f t="shared" si="6"/>
        <v>29</v>
      </c>
      <c r="F22" s="34"/>
      <c r="G22" s="38">
        <v>29</v>
      </c>
      <c r="H22" s="38">
        <v>0</v>
      </c>
      <c r="I22" s="38">
        <v>0</v>
      </c>
      <c r="J22" s="26">
        <f t="shared" si="1"/>
        <v>0.14499999999999999</v>
      </c>
      <c r="K22" s="122"/>
    </row>
    <row r="23" spans="1:11" ht="14.25" customHeight="1" x14ac:dyDescent="0.25">
      <c r="A23" s="24"/>
      <c r="B23" s="33" t="s">
        <v>84</v>
      </c>
      <c r="C23" s="34">
        <v>3600</v>
      </c>
      <c r="D23" s="120"/>
      <c r="E23" s="34">
        <f t="shared" si="6"/>
        <v>7444</v>
      </c>
      <c r="F23" s="34"/>
      <c r="G23" s="38">
        <v>7444</v>
      </c>
      <c r="H23" s="38">
        <v>0</v>
      </c>
      <c r="I23" s="38">
        <v>0</v>
      </c>
      <c r="J23" s="26">
        <f t="shared" si="1"/>
        <v>2.0677777777777777</v>
      </c>
      <c r="K23" s="123"/>
    </row>
    <row r="24" spans="1:11" ht="26.25" customHeight="1" x14ac:dyDescent="0.25">
      <c r="A24" s="23">
        <v>3</v>
      </c>
      <c r="B24" s="28" t="s">
        <v>86</v>
      </c>
      <c r="C24" s="34">
        <f>SUM(C25,C26)</f>
        <v>876000</v>
      </c>
      <c r="D24" s="34">
        <v>1415000</v>
      </c>
      <c r="E24" s="34">
        <f>SUM(E25:E30)</f>
        <v>1773617</v>
      </c>
      <c r="F24" s="34">
        <f t="shared" ref="F24:I24" si="8">SUM(F25:F30)</f>
        <v>0</v>
      </c>
      <c r="G24" s="34">
        <f t="shared" si="8"/>
        <v>1772202</v>
      </c>
      <c r="H24" s="34">
        <f t="shared" si="8"/>
        <v>1415</v>
      </c>
      <c r="I24" s="34">
        <f t="shared" si="8"/>
        <v>0</v>
      </c>
      <c r="J24" s="26">
        <f t="shared" si="1"/>
        <v>2.0246769406392695</v>
      </c>
      <c r="K24" s="26">
        <f t="shared" si="2"/>
        <v>1.2534395759717314</v>
      </c>
    </row>
    <row r="25" spans="1:11" ht="16.5" customHeight="1" x14ac:dyDescent="0.25">
      <c r="A25" s="24"/>
      <c r="B25" s="33" t="s">
        <v>81</v>
      </c>
      <c r="C25" s="34">
        <v>236000</v>
      </c>
      <c r="D25" s="34"/>
      <c r="E25" s="34">
        <f t="shared" si="6"/>
        <v>940173</v>
      </c>
      <c r="F25" s="34"/>
      <c r="G25" s="38">
        <v>938758</v>
      </c>
      <c r="H25" s="38">
        <v>1415</v>
      </c>
      <c r="I25" s="38">
        <v>0</v>
      </c>
      <c r="J25" s="26">
        <f t="shared" si="1"/>
        <v>3.9837838983050848</v>
      </c>
      <c r="K25" s="26"/>
    </row>
    <row r="26" spans="1:11" ht="16.5" customHeight="1" x14ac:dyDescent="0.25">
      <c r="A26" s="24"/>
      <c r="B26" s="33" t="s">
        <v>82</v>
      </c>
      <c r="C26" s="34">
        <v>640000</v>
      </c>
      <c r="D26" s="34"/>
      <c r="E26" s="34">
        <f t="shared" si="6"/>
        <v>833420</v>
      </c>
      <c r="F26" s="34"/>
      <c r="G26" s="38">
        <v>833420</v>
      </c>
      <c r="H26" s="38">
        <v>0</v>
      </c>
      <c r="I26" s="38">
        <v>0</v>
      </c>
      <c r="J26" s="26">
        <f t="shared" si="1"/>
        <v>1.30221875</v>
      </c>
      <c r="K26" s="26"/>
    </row>
    <row r="27" spans="1:11" ht="16.5" customHeight="1" x14ac:dyDescent="0.25">
      <c r="A27" s="24"/>
      <c r="B27" s="33" t="s">
        <v>87</v>
      </c>
      <c r="C27" s="34"/>
      <c r="D27" s="34"/>
      <c r="E27" s="34">
        <f t="shared" si="6"/>
        <v>0</v>
      </c>
      <c r="F27" s="34"/>
      <c r="G27" s="34"/>
      <c r="H27" s="34"/>
      <c r="I27" s="34"/>
      <c r="J27" s="26"/>
      <c r="K27" s="26"/>
    </row>
    <row r="28" spans="1:11" ht="16.5" customHeight="1" x14ac:dyDescent="0.25">
      <c r="A28" s="24"/>
      <c r="B28" s="33" t="s">
        <v>83</v>
      </c>
      <c r="C28" s="34"/>
      <c r="D28" s="34"/>
      <c r="E28" s="34">
        <f t="shared" si="6"/>
        <v>0</v>
      </c>
      <c r="F28" s="34"/>
      <c r="G28" s="38">
        <v>0</v>
      </c>
      <c r="H28" s="38">
        <v>0</v>
      </c>
      <c r="I28" s="38">
        <v>0</v>
      </c>
      <c r="J28" s="26"/>
      <c r="K28" s="26"/>
    </row>
    <row r="29" spans="1:11" ht="16.5" customHeight="1" x14ac:dyDescent="0.25">
      <c r="A29" s="24"/>
      <c r="B29" s="33" t="s">
        <v>84</v>
      </c>
      <c r="C29" s="34"/>
      <c r="D29" s="34"/>
      <c r="E29" s="34">
        <f t="shared" si="6"/>
        <v>24</v>
      </c>
      <c r="F29" s="34"/>
      <c r="G29" s="38">
        <v>24</v>
      </c>
      <c r="H29" s="38">
        <v>0</v>
      </c>
      <c r="I29" s="38">
        <v>0</v>
      </c>
      <c r="J29" s="26"/>
      <c r="K29" s="26"/>
    </row>
    <row r="30" spans="1:11" ht="16.5" customHeight="1" x14ac:dyDescent="0.25">
      <c r="A30" s="24"/>
      <c r="B30" s="33" t="s">
        <v>88</v>
      </c>
      <c r="C30" s="34"/>
      <c r="D30" s="34"/>
      <c r="E30" s="34">
        <f t="shared" si="6"/>
        <v>0</v>
      </c>
      <c r="F30" s="34"/>
      <c r="G30" s="38">
        <v>0</v>
      </c>
      <c r="H30" s="38">
        <v>0</v>
      </c>
      <c r="I30" s="38">
        <v>0</v>
      </c>
      <c r="J30" s="26"/>
      <c r="K30" s="26"/>
    </row>
    <row r="31" spans="1:11" ht="21" customHeight="1" x14ac:dyDescent="0.25">
      <c r="A31" s="23">
        <v>4</v>
      </c>
      <c r="B31" s="28" t="s">
        <v>89</v>
      </c>
      <c r="C31" s="34">
        <f>SUM(C32,C33,C34,C35)</f>
        <v>736000</v>
      </c>
      <c r="D31" s="34">
        <v>770600</v>
      </c>
      <c r="E31" s="34">
        <f>SUM(E32:E35)</f>
        <v>667163</v>
      </c>
      <c r="F31" s="34">
        <f>SUM(F32:F35)</f>
        <v>70</v>
      </c>
      <c r="G31" s="34">
        <f t="shared" ref="G31:I31" si="9">SUM(G32:G35)</f>
        <v>376993</v>
      </c>
      <c r="H31" s="34">
        <f t="shared" si="9"/>
        <v>229024</v>
      </c>
      <c r="I31" s="34">
        <f t="shared" si="9"/>
        <v>61076</v>
      </c>
      <c r="J31" s="26">
        <f t="shared" si="1"/>
        <v>0.90647146739130435</v>
      </c>
      <c r="K31" s="26">
        <f t="shared" si="2"/>
        <v>0.86577082792629123</v>
      </c>
    </row>
    <row r="32" spans="1:11" ht="18" customHeight="1" x14ac:dyDescent="0.25">
      <c r="A32" s="24"/>
      <c r="B32" s="33" t="s">
        <v>81</v>
      </c>
      <c r="C32" s="34">
        <v>618500</v>
      </c>
      <c r="D32" s="34"/>
      <c r="E32" s="34">
        <f t="shared" si="6"/>
        <v>554630</v>
      </c>
      <c r="F32" s="34"/>
      <c r="G32" s="38">
        <v>301380</v>
      </c>
      <c r="H32" s="38">
        <v>199168</v>
      </c>
      <c r="I32" s="38">
        <v>54082</v>
      </c>
      <c r="J32" s="26">
        <f t="shared" si="1"/>
        <v>0.89673403395311235</v>
      </c>
      <c r="K32" s="26"/>
    </row>
    <row r="33" spans="1:11" ht="18" customHeight="1" x14ac:dyDescent="0.25">
      <c r="A33" s="24"/>
      <c r="B33" s="33" t="s">
        <v>82</v>
      </c>
      <c r="C33" s="34">
        <v>78000</v>
      </c>
      <c r="D33" s="34"/>
      <c r="E33" s="34">
        <f t="shared" si="6"/>
        <v>72490</v>
      </c>
      <c r="F33" s="34"/>
      <c r="G33" s="38">
        <v>49679</v>
      </c>
      <c r="H33" s="38">
        <v>20009</v>
      </c>
      <c r="I33" s="38">
        <v>2802</v>
      </c>
      <c r="J33" s="26">
        <f t="shared" si="1"/>
        <v>0.92935897435897441</v>
      </c>
      <c r="K33" s="26"/>
    </row>
    <row r="34" spans="1:11" ht="18" customHeight="1" x14ac:dyDescent="0.25">
      <c r="A34" s="24"/>
      <c r="B34" s="33" t="s">
        <v>83</v>
      </c>
      <c r="C34" s="34">
        <v>3500</v>
      </c>
      <c r="D34" s="34"/>
      <c r="E34" s="34">
        <f t="shared" si="6"/>
        <v>2579</v>
      </c>
      <c r="F34" s="34">
        <v>70</v>
      </c>
      <c r="G34" s="38">
        <v>1728</v>
      </c>
      <c r="H34" s="38">
        <v>419</v>
      </c>
      <c r="I34" s="38">
        <v>362</v>
      </c>
      <c r="J34" s="26">
        <f t="shared" si="1"/>
        <v>0.73685714285714288</v>
      </c>
      <c r="K34" s="26"/>
    </row>
    <row r="35" spans="1:11" ht="18" customHeight="1" x14ac:dyDescent="0.25">
      <c r="A35" s="24"/>
      <c r="B35" s="33" t="s">
        <v>84</v>
      </c>
      <c r="C35" s="34">
        <v>36000</v>
      </c>
      <c r="D35" s="34"/>
      <c r="E35" s="34">
        <f t="shared" si="6"/>
        <v>37464</v>
      </c>
      <c r="F35" s="34"/>
      <c r="G35" s="38">
        <v>24206</v>
      </c>
      <c r="H35" s="38">
        <v>9428</v>
      </c>
      <c r="I35" s="38">
        <v>3830</v>
      </c>
      <c r="J35" s="26">
        <f t="shared" si="1"/>
        <v>1.0406666666666666</v>
      </c>
      <c r="K35" s="26"/>
    </row>
    <row r="36" spans="1:11" ht="18.75" customHeight="1" x14ac:dyDescent="0.25">
      <c r="A36" s="23">
        <v>5</v>
      </c>
      <c r="B36" s="28" t="s">
        <v>90</v>
      </c>
      <c r="C36" s="34">
        <v>380000</v>
      </c>
      <c r="D36" s="34">
        <v>380000</v>
      </c>
      <c r="E36" s="34">
        <f t="shared" si="6"/>
        <v>412659</v>
      </c>
      <c r="F36" s="39">
        <v>0</v>
      </c>
      <c r="G36" s="38">
        <v>0</v>
      </c>
      <c r="H36" s="38">
        <v>359596</v>
      </c>
      <c r="I36" s="38">
        <v>53063</v>
      </c>
      <c r="J36" s="26">
        <f t="shared" si="1"/>
        <v>1.0859447368421054</v>
      </c>
      <c r="K36" s="26">
        <f t="shared" si="2"/>
        <v>1.0859447368421054</v>
      </c>
    </row>
    <row r="37" spans="1:11" ht="18.75" customHeight="1" x14ac:dyDescent="0.25">
      <c r="A37" s="23">
        <v>6</v>
      </c>
      <c r="B37" s="28" t="s">
        <v>91</v>
      </c>
      <c r="C37" s="34"/>
      <c r="D37" s="34"/>
      <c r="E37" s="34">
        <f t="shared" si="6"/>
        <v>-71</v>
      </c>
      <c r="F37" s="39">
        <v>0</v>
      </c>
      <c r="G37" s="38">
        <v>0</v>
      </c>
      <c r="H37" s="38">
        <v>0</v>
      </c>
      <c r="I37" s="38">
        <v>-71</v>
      </c>
      <c r="J37" s="26"/>
      <c r="K37" s="26"/>
    </row>
    <row r="38" spans="1:11" ht="18.75" customHeight="1" x14ac:dyDescent="0.25">
      <c r="A38" s="23">
        <v>7</v>
      </c>
      <c r="B38" s="28" t="s">
        <v>92</v>
      </c>
      <c r="C38" s="34">
        <v>11000</v>
      </c>
      <c r="D38" s="34">
        <v>11300</v>
      </c>
      <c r="E38" s="34">
        <f t="shared" si="6"/>
        <v>13003</v>
      </c>
      <c r="F38" s="39">
        <v>0</v>
      </c>
      <c r="G38" s="38">
        <v>0</v>
      </c>
      <c r="H38" s="38">
        <v>0</v>
      </c>
      <c r="I38" s="38">
        <v>13003</v>
      </c>
      <c r="J38" s="26">
        <f t="shared" si="1"/>
        <v>1.1820909090909091</v>
      </c>
      <c r="K38" s="26">
        <f t="shared" si="2"/>
        <v>1.1507079646017699</v>
      </c>
    </row>
    <row r="39" spans="1:11" ht="18.75" customHeight="1" x14ac:dyDescent="0.25">
      <c r="A39" s="23">
        <v>8</v>
      </c>
      <c r="B39" s="28" t="s">
        <v>93</v>
      </c>
      <c r="C39" s="34">
        <v>250000</v>
      </c>
      <c r="D39" s="34">
        <v>265100</v>
      </c>
      <c r="E39" s="34">
        <f t="shared" si="6"/>
        <v>244054</v>
      </c>
      <c r="F39" s="39">
        <v>0</v>
      </c>
      <c r="G39" s="38">
        <v>189286</v>
      </c>
      <c r="H39" s="38">
        <v>54768</v>
      </c>
      <c r="I39" s="38">
        <v>0</v>
      </c>
      <c r="J39" s="26">
        <f t="shared" si="1"/>
        <v>0.97621599999999997</v>
      </c>
      <c r="K39" s="26">
        <f t="shared" si="2"/>
        <v>0.92061109015465858</v>
      </c>
    </row>
    <row r="40" spans="1:11" ht="18.75" customHeight="1" x14ac:dyDescent="0.25">
      <c r="A40" s="23">
        <v>9</v>
      </c>
      <c r="B40" s="28" t="s">
        <v>94</v>
      </c>
      <c r="C40" s="34">
        <f>SUM(C41,C42)</f>
        <v>755000</v>
      </c>
      <c r="D40" s="34">
        <v>770000</v>
      </c>
      <c r="E40" s="34">
        <f>SUM(F40:I40)</f>
        <v>704060</v>
      </c>
      <c r="F40" s="39">
        <v>442150</v>
      </c>
      <c r="G40" s="38">
        <v>261910</v>
      </c>
      <c r="H40" s="38">
        <v>0</v>
      </c>
      <c r="I40" s="38">
        <v>0</v>
      </c>
      <c r="J40" s="26">
        <f t="shared" si="1"/>
        <v>0.93252980132450336</v>
      </c>
      <c r="K40" s="26">
        <f t="shared" si="2"/>
        <v>0.91436363636363638</v>
      </c>
    </row>
    <row r="41" spans="1:11" ht="18.75" customHeight="1" x14ac:dyDescent="0.25">
      <c r="A41" s="24"/>
      <c r="B41" s="40" t="s">
        <v>95</v>
      </c>
      <c r="C41" s="41">
        <v>474100</v>
      </c>
      <c r="D41" s="34"/>
      <c r="E41" s="34"/>
      <c r="F41" s="34"/>
      <c r="G41" s="34"/>
      <c r="H41" s="34"/>
      <c r="I41" s="34"/>
      <c r="J41" s="26">
        <f t="shared" si="1"/>
        <v>0</v>
      </c>
      <c r="K41" s="26"/>
    </row>
    <row r="42" spans="1:11" ht="18.75" customHeight="1" x14ac:dyDescent="0.25">
      <c r="A42" s="24"/>
      <c r="B42" s="40" t="s">
        <v>96</v>
      </c>
      <c r="C42" s="41">
        <v>280900</v>
      </c>
      <c r="D42" s="34"/>
      <c r="E42" s="34"/>
      <c r="F42" s="34"/>
      <c r="G42" s="34"/>
      <c r="H42" s="34"/>
      <c r="I42" s="34"/>
      <c r="J42" s="26">
        <f t="shared" si="1"/>
        <v>0</v>
      </c>
      <c r="K42" s="26"/>
    </row>
    <row r="43" spans="1:11" ht="18" customHeight="1" x14ac:dyDescent="0.25">
      <c r="A43" s="23">
        <v>10</v>
      </c>
      <c r="B43" s="28" t="s">
        <v>97</v>
      </c>
      <c r="C43" s="34">
        <v>140000</v>
      </c>
      <c r="D43" s="34">
        <v>140000</v>
      </c>
      <c r="E43" s="34">
        <f t="shared" ref="E43:E45" si="10">SUM(F43:I43)</f>
        <v>128468</v>
      </c>
      <c r="F43" s="39">
        <v>60338</v>
      </c>
      <c r="G43" s="38">
        <v>40226</v>
      </c>
      <c r="H43" s="38">
        <v>16961</v>
      </c>
      <c r="I43" s="38">
        <v>10943</v>
      </c>
      <c r="J43" s="26">
        <f t="shared" si="1"/>
        <v>0.91762857142857146</v>
      </c>
      <c r="K43" s="26">
        <f t="shared" si="2"/>
        <v>0.91762857142857146</v>
      </c>
    </row>
    <row r="44" spans="1:11" ht="18" customHeight="1" x14ac:dyDescent="0.25">
      <c r="A44" s="23">
        <v>11</v>
      </c>
      <c r="B44" s="28" t="s">
        <v>98</v>
      </c>
      <c r="C44" s="34">
        <v>1200000</v>
      </c>
      <c r="D44" s="34">
        <v>1850000</v>
      </c>
      <c r="E44" s="34">
        <f t="shared" si="10"/>
        <v>2390309</v>
      </c>
      <c r="F44" s="39">
        <v>0</v>
      </c>
      <c r="G44" s="38">
        <v>247703</v>
      </c>
      <c r="H44" s="38">
        <v>1247295</v>
      </c>
      <c r="I44" s="38">
        <v>895311</v>
      </c>
      <c r="J44" s="26">
        <f t="shared" si="1"/>
        <v>1.9919241666666667</v>
      </c>
      <c r="K44" s="26">
        <f>+E44/D44</f>
        <v>1.2920589189189189</v>
      </c>
    </row>
    <row r="45" spans="1:11" ht="18" customHeight="1" x14ac:dyDescent="0.25">
      <c r="A45" s="23">
        <v>12</v>
      </c>
      <c r="B45" s="28" t="s">
        <v>99</v>
      </c>
      <c r="C45" s="34">
        <v>100000</v>
      </c>
      <c r="D45" s="34">
        <v>60000</v>
      </c>
      <c r="E45" s="34">
        <f t="shared" si="10"/>
        <v>105592</v>
      </c>
      <c r="F45" s="39">
        <v>0</v>
      </c>
      <c r="G45" s="38">
        <v>17775</v>
      </c>
      <c r="H45" s="38">
        <v>71558</v>
      </c>
      <c r="I45" s="38">
        <v>16259</v>
      </c>
      <c r="J45" s="26">
        <f t="shared" si="1"/>
        <v>1.05592</v>
      </c>
      <c r="K45" s="26">
        <f t="shared" si="2"/>
        <v>1.7598666666666667</v>
      </c>
    </row>
    <row r="46" spans="1:11" ht="21" customHeight="1" x14ac:dyDescent="0.25">
      <c r="A46" s="23">
        <v>13</v>
      </c>
      <c r="B46" s="28" t="s">
        <v>100</v>
      </c>
      <c r="C46" s="34"/>
      <c r="D46" s="34"/>
      <c r="E46" s="34"/>
      <c r="F46" s="39">
        <v>0</v>
      </c>
      <c r="G46" s="34"/>
      <c r="H46" s="34"/>
      <c r="I46" s="34"/>
      <c r="J46" s="26"/>
      <c r="K46" s="26"/>
    </row>
    <row r="47" spans="1:11" ht="27" customHeight="1" x14ac:dyDescent="0.25">
      <c r="A47" s="33"/>
      <c r="B47" s="40" t="s">
        <v>101</v>
      </c>
      <c r="C47" s="34"/>
      <c r="D47" s="34"/>
      <c r="E47" s="34"/>
      <c r="F47" s="34"/>
      <c r="G47" s="34"/>
      <c r="H47" s="34"/>
      <c r="I47" s="34"/>
      <c r="J47" s="26"/>
      <c r="K47" s="26"/>
    </row>
    <row r="48" spans="1:11" ht="15" customHeight="1" x14ac:dyDescent="0.25">
      <c r="A48" s="33"/>
      <c r="B48" s="40" t="s">
        <v>102</v>
      </c>
      <c r="C48" s="34"/>
      <c r="D48" s="34"/>
      <c r="E48" s="34"/>
      <c r="F48" s="34"/>
      <c r="G48" s="34"/>
      <c r="H48" s="34"/>
      <c r="I48" s="34"/>
      <c r="J48" s="26"/>
      <c r="K48" s="26"/>
    </row>
    <row r="49" spans="1:11" ht="18" customHeight="1" x14ac:dyDescent="0.25">
      <c r="A49" s="23">
        <v>14</v>
      </c>
      <c r="B49" s="28" t="s">
        <v>103</v>
      </c>
      <c r="C49" s="34"/>
      <c r="D49" s="34"/>
      <c r="E49" s="34"/>
      <c r="F49" s="39">
        <v>0</v>
      </c>
      <c r="G49" s="34"/>
      <c r="H49" s="34"/>
      <c r="I49" s="34"/>
      <c r="J49" s="26"/>
      <c r="K49" s="26"/>
    </row>
    <row r="50" spans="1:11" ht="18" customHeight="1" x14ac:dyDescent="0.25">
      <c r="A50" s="24"/>
      <c r="B50" s="40" t="s">
        <v>104</v>
      </c>
      <c r="C50" s="34"/>
      <c r="D50" s="34"/>
      <c r="E50" s="34"/>
      <c r="F50" s="34"/>
      <c r="G50" s="34"/>
      <c r="H50" s="34"/>
      <c r="I50" s="34"/>
      <c r="J50" s="26"/>
      <c r="K50" s="26"/>
    </row>
    <row r="51" spans="1:11" ht="18" customHeight="1" x14ac:dyDescent="0.25">
      <c r="A51" s="33"/>
      <c r="B51" s="40" t="s">
        <v>105</v>
      </c>
      <c r="C51" s="34"/>
      <c r="D51" s="34"/>
      <c r="E51" s="34"/>
      <c r="F51" s="34"/>
      <c r="G51" s="34"/>
      <c r="H51" s="34"/>
      <c r="I51" s="34"/>
      <c r="J51" s="26"/>
      <c r="K51" s="26"/>
    </row>
    <row r="52" spans="1:11" ht="28.5" customHeight="1" x14ac:dyDescent="0.25">
      <c r="A52" s="23">
        <v>15</v>
      </c>
      <c r="B52" s="28" t="s">
        <v>106</v>
      </c>
      <c r="C52" s="34"/>
      <c r="D52" s="34"/>
      <c r="E52" s="34"/>
      <c r="F52" s="39">
        <v>0</v>
      </c>
      <c r="G52" s="34"/>
      <c r="H52" s="34"/>
      <c r="I52" s="34"/>
      <c r="J52" s="26"/>
      <c r="K52" s="26"/>
    </row>
    <row r="53" spans="1:11" ht="17.25" customHeight="1" x14ac:dyDescent="0.25">
      <c r="A53" s="33"/>
      <c r="B53" s="40" t="s">
        <v>107</v>
      </c>
      <c r="C53" s="34"/>
      <c r="D53" s="34"/>
      <c r="E53" s="34"/>
      <c r="F53" s="34"/>
      <c r="G53" s="34"/>
      <c r="H53" s="34"/>
      <c r="I53" s="34"/>
      <c r="J53" s="26"/>
      <c r="K53" s="26"/>
    </row>
    <row r="54" spans="1:11" ht="17.25" customHeight="1" x14ac:dyDescent="0.25">
      <c r="A54" s="33"/>
      <c r="B54" s="40" t="s">
        <v>108</v>
      </c>
      <c r="C54" s="34"/>
      <c r="D54" s="34"/>
      <c r="E54" s="34"/>
      <c r="F54" s="34"/>
      <c r="G54" s="34"/>
      <c r="H54" s="34"/>
      <c r="I54" s="34"/>
      <c r="J54" s="26"/>
      <c r="K54" s="26"/>
    </row>
    <row r="55" spans="1:11" ht="29.25" customHeight="1" x14ac:dyDescent="0.25">
      <c r="A55" s="23">
        <v>16</v>
      </c>
      <c r="B55" s="28" t="s">
        <v>109</v>
      </c>
      <c r="C55" s="34"/>
      <c r="D55" s="34"/>
      <c r="E55" s="34"/>
      <c r="F55" s="34"/>
      <c r="G55" s="34"/>
      <c r="H55" s="34"/>
      <c r="I55" s="34"/>
      <c r="J55" s="26"/>
      <c r="K55" s="26"/>
    </row>
    <row r="56" spans="1:11" ht="16.5" customHeight="1" x14ac:dyDescent="0.25">
      <c r="A56" s="23">
        <v>17</v>
      </c>
      <c r="B56" s="28" t="s">
        <v>110</v>
      </c>
      <c r="C56" s="34">
        <v>190000</v>
      </c>
      <c r="D56" s="34">
        <v>190000</v>
      </c>
      <c r="E56" s="34">
        <f t="shared" ref="E56" si="11">SUM(F56:I56)</f>
        <v>302437</v>
      </c>
      <c r="F56" s="39">
        <v>216461</v>
      </c>
      <c r="G56" s="38">
        <v>48930</v>
      </c>
      <c r="H56" s="38">
        <v>14116</v>
      </c>
      <c r="I56" s="38">
        <v>22930</v>
      </c>
      <c r="J56" s="26">
        <f t="shared" si="1"/>
        <v>1.5917736842105263</v>
      </c>
      <c r="K56" s="26">
        <f t="shared" si="2"/>
        <v>1.5917736842105263</v>
      </c>
    </row>
    <row r="57" spans="1:11" ht="16.5" customHeight="1" x14ac:dyDescent="0.25">
      <c r="A57" s="33"/>
      <c r="B57" s="40" t="s">
        <v>111</v>
      </c>
      <c r="C57" s="34"/>
      <c r="D57" s="34"/>
      <c r="E57" s="34">
        <f t="shared" ref="E57:E60" si="12">SUM(F57:I57)</f>
        <v>0</v>
      </c>
      <c r="F57" s="34"/>
      <c r="G57" s="34"/>
      <c r="H57" s="34"/>
      <c r="I57" s="34"/>
      <c r="J57" s="26"/>
      <c r="K57" s="26"/>
    </row>
    <row r="58" spans="1:11" ht="16.5" customHeight="1" x14ac:dyDescent="0.25">
      <c r="A58" s="23">
        <v>18</v>
      </c>
      <c r="B58" s="28" t="s">
        <v>112</v>
      </c>
      <c r="C58" s="34">
        <v>35000</v>
      </c>
      <c r="D58" s="34">
        <v>35000</v>
      </c>
      <c r="E58" s="34">
        <f t="shared" ref="E58" si="13">SUM(F58:I58)</f>
        <v>31750</v>
      </c>
      <c r="F58" s="39">
        <v>4884</v>
      </c>
      <c r="G58" s="38">
        <v>13759</v>
      </c>
      <c r="H58" s="38">
        <v>13107</v>
      </c>
      <c r="I58" s="38">
        <v>0</v>
      </c>
      <c r="J58" s="26">
        <f t="shared" si="1"/>
        <v>0.90714285714285714</v>
      </c>
      <c r="K58" s="26">
        <f t="shared" si="2"/>
        <v>0.90714285714285714</v>
      </c>
    </row>
    <row r="59" spans="1:11" ht="16.5" customHeight="1" x14ac:dyDescent="0.25">
      <c r="A59" s="33"/>
      <c r="B59" s="40" t="s">
        <v>113</v>
      </c>
      <c r="C59" s="34"/>
      <c r="D59" s="34"/>
      <c r="E59" s="34">
        <f t="shared" si="12"/>
        <v>0</v>
      </c>
      <c r="F59" s="34"/>
      <c r="G59" s="34"/>
      <c r="H59" s="34"/>
      <c r="I59" s="34"/>
      <c r="J59" s="26"/>
      <c r="K59" s="26"/>
    </row>
    <row r="60" spans="1:11" ht="16.5" customHeight="1" x14ac:dyDescent="0.25">
      <c r="A60" s="24"/>
      <c r="B60" s="40" t="s">
        <v>114</v>
      </c>
      <c r="C60" s="34"/>
      <c r="D60" s="34"/>
      <c r="E60" s="34">
        <f t="shared" si="12"/>
        <v>0</v>
      </c>
      <c r="F60" s="34"/>
      <c r="G60" s="34"/>
      <c r="H60" s="34"/>
      <c r="I60" s="34"/>
      <c r="J60" s="26"/>
      <c r="K60" s="26"/>
    </row>
    <row r="61" spans="1:11" ht="30" customHeight="1" x14ac:dyDescent="0.25">
      <c r="A61" s="23">
        <v>19</v>
      </c>
      <c r="B61" s="28" t="s">
        <v>115</v>
      </c>
      <c r="C61" s="34">
        <v>20000</v>
      </c>
      <c r="D61" s="34">
        <v>20000</v>
      </c>
      <c r="E61" s="34">
        <f t="shared" ref="E61:E62" si="14">SUM(F61:I61)</f>
        <v>21694</v>
      </c>
      <c r="F61" s="39">
        <v>0</v>
      </c>
      <c r="G61" s="38">
        <v>0</v>
      </c>
      <c r="H61" s="38">
        <v>0</v>
      </c>
      <c r="I61" s="38">
        <v>21694</v>
      </c>
      <c r="J61" s="26">
        <f t="shared" si="1"/>
        <v>1.0847</v>
      </c>
      <c r="K61" s="26">
        <f t="shared" si="2"/>
        <v>1.0847</v>
      </c>
    </row>
    <row r="62" spans="1:11" ht="21" customHeight="1" x14ac:dyDescent="0.25">
      <c r="A62" s="23">
        <v>20</v>
      </c>
      <c r="B62" s="28" t="s">
        <v>116</v>
      </c>
      <c r="C62" s="34">
        <v>1000</v>
      </c>
      <c r="D62" s="34">
        <v>1000</v>
      </c>
      <c r="E62" s="34">
        <f t="shared" si="14"/>
        <v>1315</v>
      </c>
      <c r="F62" s="39">
        <v>0</v>
      </c>
      <c r="G62" s="38">
        <v>1315</v>
      </c>
      <c r="H62" s="38">
        <v>0</v>
      </c>
      <c r="I62" s="38">
        <v>0</v>
      </c>
      <c r="J62" s="26">
        <f t="shared" si="1"/>
        <v>1.3149999999999999</v>
      </c>
      <c r="K62" s="26">
        <f t="shared" si="2"/>
        <v>1.3149999999999999</v>
      </c>
    </row>
    <row r="63" spans="1:11" ht="33.75" customHeight="1" x14ac:dyDescent="0.25">
      <c r="A63" s="23">
        <v>21</v>
      </c>
      <c r="B63" s="28" t="s">
        <v>117</v>
      </c>
      <c r="C63" s="34">
        <v>10000</v>
      </c>
      <c r="D63" s="34">
        <v>10000</v>
      </c>
      <c r="E63" s="34">
        <f>SUM(F63:I63)</f>
        <v>9564</v>
      </c>
      <c r="F63" s="39">
        <v>0</v>
      </c>
      <c r="G63" s="38">
        <v>9564</v>
      </c>
      <c r="H63" s="38">
        <v>0</v>
      </c>
      <c r="I63" s="38">
        <v>0</v>
      </c>
      <c r="J63" s="26">
        <f t="shared" si="1"/>
        <v>0.95640000000000003</v>
      </c>
      <c r="K63" s="26">
        <f t="shared" si="2"/>
        <v>0.95640000000000003</v>
      </c>
    </row>
    <row r="64" spans="1:11" ht="21" customHeight="1" x14ac:dyDescent="0.25">
      <c r="A64" s="23" t="s">
        <v>37</v>
      </c>
      <c r="B64" s="28" t="s">
        <v>118</v>
      </c>
      <c r="C64" s="34"/>
      <c r="D64" s="34"/>
      <c r="E64" s="34"/>
      <c r="F64" s="39">
        <v>0</v>
      </c>
      <c r="G64" s="34"/>
      <c r="H64" s="34"/>
      <c r="I64" s="34"/>
      <c r="J64" s="26"/>
      <c r="K64" s="26"/>
    </row>
    <row r="65" spans="1:13" ht="21" customHeight="1" x14ac:dyDescent="0.25">
      <c r="A65" s="24">
        <v>1</v>
      </c>
      <c r="B65" s="33" t="s">
        <v>119</v>
      </c>
      <c r="C65" s="34"/>
      <c r="D65" s="34"/>
      <c r="E65" s="34"/>
      <c r="F65" s="39">
        <v>0</v>
      </c>
      <c r="G65" s="34"/>
      <c r="H65" s="34"/>
      <c r="I65" s="34"/>
      <c r="J65" s="26"/>
      <c r="K65" s="26"/>
    </row>
    <row r="66" spans="1:13" ht="21" customHeight="1" x14ac:dyDescent="0.25">
      <c r="A66" s="24" t="s">
        <v>199</v>
      </c>
      <c r="B66" s="33" t="s">
        <v>120</v>
      </c>
      <c r="C66" s="34"/>
      <c r="D66" s="34"/>
      <c r="E66" s="34"/>
      <c r="F66" s="39">
        <v>0</v>
      </c>
      <c r="G66" s="34"/>
      <c r="H66" s="34"/>
      <c r="I66" s="34"/>
      <c r="J66" s="26"/>
      <c r="K66" s="26"/>
    </row>
    <row r="67" spans="1:13" ht="21" customHeight="1" x14ac:dyDescent="0.25">
      <c r="A67" s="24" t="s">
        <v>200</v>
      </c>
      <c r="B67" s="33" t="s">
        <v>121</v>
      </c>
      <c r="C67" s="34"/>
      <c r="D67" s="34"/>
      <c r="E67" s="34"/>
      <c r="F67" s="39">
        <v>0</v>
      </c>
      <c r="G67" s="34"/>
      <c r="H67" s="34"/>
      <c r="I67" s="34"/>
      <c r="J67" s="26"/>
      <c r="K67" s="26"/>
    </row>
    <row r="68" spans="1:13" ht="28.5" customHeight="1" x14ac:dyDescent="0.25">
      <c r="A68" s="24" t="s">
        <v>201</v>
      </c>
      <c r="B68" s="33" t="s">
        <v>122</v>
      </c>
      <c r="C68" s="34"/>
      <c r="D68" s="34"/>
      <c r="E68" s="34"/>
      <c r="F68" s="39">
        <v>0</v>
      </c>
      <c r="G68" s="34"/>
      <c r="H68" s="34"/>
      <c r="I68" s="34"/>
      <c r="J68" s="26"/>
      <c r="K68" s="26"/>
    </row>
    <row r="69" spans="1:13" ht="21" customHeight="1" x14ac:dyDescent="0.25">
      <c r="A69" s="24" t="s">
        <v>202</v>
      </c>
      <c r="B69" s="33" t="s">
        <v>123</v>
      </c>
      <c r="C69" s="34"/>
      <c r="D69" s="34"/>
      <c r="E69" s="34"/>
      <c r="F69" s="39">
        <v>0</v>
      </c>
      <c r="G69" s="34"/>
      <c r="H69" s="34"/>
      <c r="I69" s="34"/>
      <c r="J69" s="26"/>
      <c r="K69" s="26"/>
    </row>
    <row r="70" spans="1:13" ht="21" customHeight="1" x14ac:dyDescent="0.25">
      <c r="A70" s="24" t="s">
        <v>203</v>
      </c>
      <c r="B70" s="33" t="s">
        <v>124</v>
      </c>
      <c r="C70" s="34"/>
      <c r="D70" s="34"/>
      <c r="E70" s="34"/>
      <c r="F70" s="39">
        <v>0</v>
      </c>
      <c r="G70" s="34"/>
      <c r="H70" s="34"/>
      <c r="I70" s="34"/>
      <c r="J70" s="26"/>
      <c r="K70" s="26"/>
    </row>
    <row r="71" spans="1:13" ht="21" customHeight="1" x14ac:dyDescent="0.25">
      <c r="A71" s="24" t="s">
        <v>204</v>
      </c>
      <c r="B71" s="33" t="s">
        <v>125</v>
      </c>
      <c r="C71" s="34"/>
      <c r="D71" s="34"/>
      <c r="E71" s="34"/>
      <c r="F71" s="39">
        <v>0</v>
      </c>
      <c r="G71" s="34"/>
      <c r="H71" s="34"/>
      <c r="I71" s="34"/>
      <c r="J71" s="26"/>
      <c r="K71" s="26"/>
    </row>
    <row r="72" spans="1:13" ht="21" customHeight="1" x14ac:dyDescent="0.25">
      <c r="A72" s="24">
        <v>2</v>
      </c>
      <c r="B72" s="33" t="s">
        <v>126</v>
      </c>
      <c r="C72" s="34"/>
      <c r="D72" s="34"/>
      <c r="E72" s="34"/>
      <c r="F72" s="34"/>
      <c r="G72" s="34"/>
      <c r="H72" s="34"/>
      <c r="I72" s="34"/>
      <c r="J72" s="26"/>
      <c r="K72" s="26"/>
    </row>
    <row r="73" spans="1:13" ht="21" customHeight="1" x14ac:dyDescent="0.25">
      <c r="A73" s="24">
        <v>3</v>
      </c>
      <c r="B73" s="33" t="s">
        <v>127</v>
      </c>
      <c r="C73" s="34"/>
      <c r="D73" s="34"/>
      <c r="E73" s="34"/>
      <c r="F73" s="34"/>
      <c r="G73" s="34"/>
      <c r="H73" s="34"/>
      <c r="I73" s="34"/>
      <c r="J73" s="26"/>
      <c r="K73" s="26"/>
    </row>
    <row r="74" spans="1:13" ht="28.5" customHeight="1" x14ac:dyDescent="0.25">
      <c r="A74" s="24">
        <v>4</v>
      </c>
      <c r="B74" s="33" t="s">
        <v>128</v>
      </c>
      <c r="C74" s="34"/>
      <c r="D74" s="34"/>
      <c r="E74" s="34"/>
      <c r="F74" s="34"/>
      <c r="G74" s="34"/>
      <c r="H74" s="34"/>
      <c r="I74" s="34"/>
      <c r="J74" s="26"/>
      <c r="K74" s="26"/>
    </row>
    <row r="75" spans="1:13" s="32" customFormat="1" ht="21" customHeight="1" x14ac:dyDescent="0.2">
      <c r="A75" s="85" t="s">
        <v>40</v>
      </c>
      <c r="B75" s="28" t="s">
        <v>129</v>
      </c>
      <c r="C75" s="29">
        <f>SUM(C76,C77,C78,C79,C82)</f>
        <v>6700000</v>
      </c>
      <c r="D75" s="29">
        <v>6800000</v>
      </c>
      <c r="E75" s="29">
        <f>SUM(E76:E84)</f>
        <v>4786961</v>
      </c>
      <c r="F75" s="29">
        <f t="shared" ref="F75:I75" si="15">SUM(F76:F84)</f>
        <v>4786808</v>
      </c>
      <c r="G75" s="29">
        <f t="shared" si="15"/>
        <v>153</v>
      </c>
      <c r="H75" s="29">
        <f t="shared" si="15"/>
        <v>0</v>
      </c>
      <c r="I75" s="29">
        <f t="shared" si="15"/>
        <v>0</v>
      </c>
      <c r="J75" s="30">
        <f t="shared" ref="J75:J110" si="16">E75/C75</f>
        <v>0.71447179104477609</v>
      </c>
      <c r="K75" s="30">
        <f t="shared" ref="K75:K112" si="17">+E75/D75</f>
        <v>0.7039648529411765</v>
      </c>
      <c r="L75" s="32">
        <v>2213236</v>
      </c>
      <c r="M75" s="31">
        <f>L75*100/D75</f>
        <v>32.547588235294114</v>
      </c>
    </row>
    <row r="76" spans="1:13" ht="21" customHeight="1" x14ac:dyDescent="0.25">
      <c r="A76" s="24">
        <v>1</v>
      </c>
      <c r="B76" s="33" t="s">
        <v>130</v>
      </c>
      <c r="C76" s="34">
        <v>80000</v>
      </c>
      <c r="D76" s="34"/>
      <c r="E76" s="34">
        <f t="shared" ref="E76:E82" si="18">SUM(F76:I76)</f>
        <v>64001</v>
      </c>
      <c r="F76" s="39">
        <v>64001</v>
      </c>
      <c r="G76" s="34"/>
      <c r="H76" s="34"/>
      <c r="I76" s="34"/>
      <c r="J76" s="26">
        <f t="shared" si="16"/>
        <v>0.80001250000000002</v>
      </c>
      <c r="K76" s="26"/>
    </row>
    <row r="77" spans="1:13" ht="21" customHeight="1" x14ac:dyDescent="0.25">
      <c r="A77" s="24">
        <v>2</v>
      </c>
      <c r="B77" s="33" t="s">
        <v>131</v>
      </c>
      <c r="C77" s="34">
        <v>370000</v>
      </c>
      <c r="D77" s="34"/>
      <c r="E77" s="34">
        <f t="shared" si="18"/>
        <v>55991</v>
      </c>
      <c r="F77" s="39">
        <v>55991</v>
      </c>
      <c r="G77" s="34"/>
      <c r="H77" s="34"/>
      <c r="I77" s="34"/>
      <c r="J77" s="26">
        <f t="shared" si="16"/>
        <v>0.15132702702702702</v>
      </c>
      <c r="K77" s="26"/>
    </row>
    <row r="78" spans="1:13" ht="21" customHeight="1" x14ac:dyDescent="0.25">
      <c r="A78" s="24">
        <v>3</v>
      </c>
      <c r="B78" s="33" t="s">
        <v>132</v>
      </c>
      <c r="C78" s="34">
        <v>2000</v>
      </c>
      <c r="D78" s="34"/>
      <c r="E78" s="34">
        <f t="shared" si="18"/>
        <v>832</v>
      </c>
      <c r="F78" s="39">
        <v>832</v>
      </c>
      <c r="G78" s="34"/>
      <c r="H78" s="34"/>
      <c r="I78" s="34"/>
      <c r="J78" s="26">
        <f t="shared" si="16"/>
        <v>0.41599999999999998</v>
      </c>
      <c r="K78" s="26"/>
    </row>
    <row r="79" spans="1:13" ht="21" customHeight="1" x14ac:dyDescent="0.25">
      <c r="A79" s="24">
        <v>4</v>
      </c>
      <c r="B79" s="33" t="s">
        <v>133</v>
      </c>
      <c r="C79" s="34">
        <v>6145000</v>
      </c>
      <c r="D79" s="34"/>
      <c r="E79" s="34">
        <f t="shared" si="18"/>
        <v>4571455</v>
      </c>
      <c r="F79" s="39">
        <v>4571455</v>
      </c>
      <c r="G79" s="34"/>
      <c r="H79" s="34"/>
      <c r="I79" s="34"/>
      <c r="J79" s="26">
        <f t="shared" si="16"/>
        <v>0.74393083807973959</v>
      </c>
      <c r="K79" s="26"/>
    </row>
    <row r="80" spans="1:13" ht="25.5" x14ac:dyDescent="0.25">
      <c r="A80" s="24">
        <v>5</v>
      </c>
      <c r="B80" s="33" t="s">
        <v>134</v>
      </c>
      <c r="C80" s="34"/>
      <c r="D80" s="34"/>
      <c r="E80" s="34">
        <f t="shared" si="18"/>
        <v>0</v>
      </c>
      <c r="F80" s="39">
        <v>0</v>
      </c>
      <c r="G80" s="34"/>
      <c r="H80" s="34"/>
      <c r="I80" s="34"/>
      <c r="J80" s="26"/>
      <c r="K80" s="26"/>
    </row>
    <row r="81" spans="1:11" ht="21" customHeight="1" x14ac:dyDescent="0.25">
      <c r="A81" s="24">
        <v>6</v>
      </c>
      <c r="B81" s="33" t="s">
        <v>135</v>
      </c>
      <c r="C81" s="34"/>
      <c r="D81" s="34"/>
      <c r="E81" s="34">
        <f t="shared" si="18"/>
        <v>0</v>
      </c>
      <c r="F81" s="34"/>
      <c r="G81" s="34"/>
      <c r="H81" s="34"/>
      <c r="I81" s="34"/>
      <c r="J81" s="26"/>
      <c r="K81" s="26"/>
    </row>
    <row r="82" spans="1:11" ht="29.25" customHeight="1" x14ac:dyDescent="0.25">
      <c r="A82" s="24">
        <v>7</v>
      </c>
      <c r="B82" s="33" t="s">
        <v>136</v>
      </c>
      <c r="C82" s="34">
        <v>103000</v>
      </c>
      <c r="D82" s="34"/>
      <c r="E82" s="34">
        <f t="shared" si="18"/>
        <v>93187</v>
      </c>
      <c r="F82" s="39">
        <v>93187</v>
      </c>
      <c r="G82" s="34"/>
      <c r="H82" s="34"/>
      <c r="I82" s="34"/>
      <c r="J82" s="26">
        <f t="shared" si="16"/>
        <v>0.90472815533980577</v>
      </c>
      <c r="K82" s="26"/>
    </row>
    <row r="83" spans="1:11" ht="21" customHeight="1" x14ac:dyDescent="0.25">
      <c r="A83" s="24">
        <v>8</v>
      </c>
      <c r="B83" s="33" t="s">
        <v>175</v>
      </c>
      <c r="C83" s="34"/>
      <c r="D83" s="34"/>
      <c r="E83" s="34"/>
      <c r="F83" s="39"/>
      <c r="G83" s="34"/>
      <c r="H83" s="34"/>
      <c r="I83" s="34"/>
      <c r="J83" s="26"/>
      <c r="K83" s="26"/>
    </row>
    <row r="84" spans="1:11" ht="21" customHeight="1" x14ac:dyDescent="0.25">
      <c r="A84" s="24">
        <v>9</v>
      </c>
      <c r="B84" s="33" t="s">
        <v>125</v>
      </c>
      <c r="C84" s="34"/>
      <c r="D84" s="34"/>
      <c r="E84" s="34">
        <f>SUM(F84:I84)</f>
        <v>1495</v>
      </c>
      <c r="F84" s="39">
        <v>1342</v>
      </c>
      <c r="G84" s="34">
        <v>153</v>
      </c>
      <c r="H84" s="34"/>
      <c r="I84" s="34"/>
      <c r="J84" s="26"/>
      <c r="K84" s="26"/>
    </row>
    <row r="85" spans="1:11" s="32" customFormat="1" ht="21" customHeight="1" x14ac:dyDescent="0.2">
      <c r="A85" s="85" t="s">
        <v>42</v>
      </c>
      <c r="B85" s="28" t="s">
        <v>137</v>
      </c>
      <c r="C85" s="29"/>
      <c r="D85" s="102"/>
      <c r="E85" s="29">
        <f>SUM(F85:I85)</f>
        <v>657</v>
      </c>
      <c r="F85" s="100">
        <v>657</v>
      </c>
      <c r="G85" s="29">
        <v>0</v>
      </c>
      <c r="H85" s="29">
        <v>0</v>
      </c>
      <c r="I85" s="29">
        <v>0</v>
      </c>
      <c r="J85" s="30"/>
      <c r="K85" s="30"/>
    </row>
    <row r="86" spans="1:11" s="32" customFormat="1" ht="21" customHeight="1" x14ac:dyDescent="0.2">
      <c r="A86" s="85" t="s">
        <v>138</v>
      </c>
      <c r="B86" s="28" t="s">
        <v>139</v>
      </c>
      <c r="C86" s="29"/>
      <c r="D86" s="29">
        <v>71775</v>
      </c>
      <c r="E86" s="29">
        <f>SUM(F86:I86)</f>
        <v>34508</v>
      </c>
      <c r="F86" s="100">
        <v>0</v>
      </c>
      <c r="G86" s="101">
        <v>22500</v>
      </c>
      <c r="H86" s="101">
        <v>47</v>
      </c>
      <c r="I86" s="101">
        <v>11961</v>
      </c>
      <c r="J86" s="30"/>
      <c r="K86" s="30">
        <f t="shared" si="17"/>
        <v>0.48078021595262976</v>
      </c>
    </row>
    <row r="87" spans="1:11" ht="25.5" x14ac:dyDescent="0.25">
      <c r="A87" s="24">
        <v>1</v>
      </c>
      <c r="B87" s="33" t="s">
        <v>140</v>
      </c>
      <c r="C87" s="34"/>
      <c r="D87" s="34"/>
      <c r="E87" s="34"/>
      <c r="F87" s="39">
        <v>0</v>
      </c>
      <c r="G87" s="34"/>
      <c r="H87" s="34"/>
      <c r="I87" s="34"/>
      <c r="J87" s="26"/>
      <c r="K87" s="26"/>
    </row>
    <row r="88" spans="1:11" x14ac:dyDescent="0.25">
      <c r="A88" s="24">
        <v>2</v>
      </c>
      <c r="B88" s="33" t="s">
        <v>141</v>
      </c>
      <c r="C88" s="34"/>
      <c r="D88" s="34"/>
      <c r="E88" s="34"/>
      <c r="F88" s="39">
        <v>0</v>
      </c>
      <c r="G88" s="34"/>
      <c r="H88" s="34"/>
      <c r="I88" s="34"/>
      <c r="J88" s="26"/>
      <c r="K88" s="26"/>
    </row>
    <row r="89" spans="1:11" s="32" customFormat="1" ht="25.5" x14ac:dyDescent="0.2">
      <c r="A89" s="85" t="s">
        <v>45</v>
      </c>
      <c r="B89" s="28" t="s">
        <v>142</v>
      </c>
      <c r="C89" s="29"/>
      <c r="D89" s="29"/>
      <c r="E89" s="29">
        <f>SUM(F89:I89)</f>
        <v>200000</v>
      </c>
      <c r="F89" s="100">
        <v>0</v>
      </c>
      <c r="G89" s="101">
        <f>+G90+G91+G94</f>
        <v>200000</v>
      </c>
      <c r="H89" s="101">
        <v>0</v>
      </c>
      <c r="I89" s="101">
        <v>0</v>
      </c>
      <c r="J89" s="30"/>
      <c r="K89" s="30"/>
    </row>
    <row r="90" spans="1:11" ht="25.5" x14ac:dyDescent="0.25">
      <c r="A90" s="24">
        <v>1</v>
      </c>
      <c r="B90" s="33" t="s">
        <v>143</v>
      </c>
      <c r="C90" s="34"/>
      <c r="D90" s="34"/>
      <c r="E90" s="34"/>
      <c r="F90" s="39">
        <v>0</v>
      </c>
      <c r="G90" s="34"/>
      <c r="H90" s="34"/>
      <c r="I90" s="34"/>
      <c r="J90" s="26"/>
      <c r="K90" s="26"/>
    </row>
    <row r="91" spans="1:11" ht="21" customHeight="1" x14ac:dyDescent="0.25">
      <c r="A91" s="24">
        <v>2</v>
      </c>
      <c r="B91" s="33" t="s">
        <v>144</v>
      </c>
      <c r="C91" s="34"/>
      <c r="D91" s="34"/>
      <c r="E91" s="34"/>
      <c r="F91" s="39">
        <v>0</v>
      </c>
      <c r="G91" s="34"/>
      <c r="H91" s="34"/>
      <c r="I91" s="34"/>
      <c r="J91" s="26"/>
      <c r="K91" s="26"/>
    </row>
    <row r="92" spans="1:11" ht="21" customHeight="1" x14ac:dyDescent="0.25">
      <c r="A92" s="24" t="s">
        <v>215</v>
      </c>
      <c r="B92" s="33" t="s">
        <v>145</v>
      </c>
      <c r="C92" s="34"/>
      <c r="D92" s="34"/>
      <c r="E92" s="34"/>
      <c r="F92" s="39">
        <v>0</v>
      </c>
      <c r="G92" s="34"/>
      <c r="H92" s="34"/>
      <c r="I92" s="34"/>
      <c r="J92" s="26"/>
      <c r="K92" s="26"/>
    </row>
    <row r="93" spans="1:11" ht="21" customHeight="1" x14ac:dyDescent="0.25">
      <c r="A93" s="24" t="s">
        <v>216</v>
      </c>
      <c r="B93" s="33" t="s">
        <v>146</v>
      </c>
      <c r="C93" s="34"/>
      <c r="D93" s="34"/>
      <c r="E93" s="34"/>
      <c r="F93" s="39">
        <v>0</v>
      </c>
      <c r="G93" s="34"/>
      <c r="H93" s="34"/>
      <c r="I93" s="34"/>
      <c r="J93" s="26"/>
      <c r="K93" s="26"/>
    </row>
    <row r="94" spans="1:11" ht="21" customHeight="1" x14ac:dyDescent="0.25">
      <c r="A94" s="24">
        <v>3</v>
      </c>
      <c r="B94" s="33" t="s">
        <v>147</v>
      </c>
      <c r="C94" s="34"/>
      <c r="D94" s="34"/>
      <c r="E94" s="34">
        <f>SUM(F94:I94)</f>
        <v>200000</v>
      </c>
      <c r="F94" s="39">
        <v>0</v>
      </c>
      <c r="G94" s="34">
        <v>200000</v>
      </c>
      <c r="H94" s="34"/>
      <c r="I94" s="34"/>
      <c r="J94" s="26"/>
      <c r="K94" s="26"/>
    </row>
    <row r="95" spans="1:11" s="32" customFormat="1" ht="21" customHeight="1" x14ac:dyDescent="0.2">
      <c r="A95" s="85" t="s">
        <v>14</v>
      </c>
      <c r="B95" s="28" t="s">
        <v>148</v>
      </c>
      <c r="C95" s="29">
        <f>+C96+C99</f>
        <v>341300</v>
      </c>
      <c r="D95" s="29">
        <f>+D96+D99</f>
        <v>341300</v>
      </c>
      <c r="E95" s="29">
        <f>+E96+E99</f>
        <v>127934</v>
      </c>
      <c r="F95" s="29">
        <f t="shared" ref="F95:I95" si="19">+F96+F99</f>
        <v>0</v>
      </c>
      <c r="G95" s="29">
        <f t="shared" si="19"/>
        <v>127934</v>
      </c>
      <c r="H95" s="29">
        <f t="shared" si="19"/>
        <v>0</v>
      </c>
      <c r="I95" s="29">
        <f t="shared" si="19"/>
        <v>0</v>
      </c>
      <c r="J95" s="30">
        <f t="shared" si="16"/>
        <v>0.37484324641078232</v>
      </c>
      <c r="K95" s="30">
        <f t="shared" si="17"/>
        <v>0.37484324641078232</v>
      </c>
    </row>
    <row r="96" spans="1:11" s="32" customFormat="1" ht="21" customHeight="1" x14ac:dyDescent="0.2">
      <c r="A96" s="85" t="s">
        <v>19</v>
      </c>
      <c r="B96" s="28" t="s">
        <v>149</v>
      </c>
      <c r="C96" s="29">
        <v>341300</v>
      </c>
      <c r="D96" s="29">
        <v>341300</v>
      </c>
      <c r="E96" s="29">
        <f>+E97+E98</f>
        <v>127934</v>
      </c>
      <c r="F96" s="29">
        <f t="shared" ref="F96:I96" si="20">+F97+F98</f>
        <v>0</v>
      </c>
      <c r="G96" s="29">
        <f t="shared" si="20"/>
        <v>127934</v>
      </c>
      <c r="H96" s="29">
        <f t="shared" si="20"/>
        <v>0</v>
      </c>
      <c r="I96" s="29">
        <f t="shared" si="20"/>
        <v>0</v>
      </c>
      <c r="J96" s="30">
        <f t="shared" si="16"/>
        <v>0.37484324641078232</v>
      </c>
      <c r="K96" s="30">
        <f t="shared" si="17"/>
        <v>0.37484324641078232</v>
      </c>
    </row>
    <row r="97" spans="1:11" ht="21" customHeight="1" x14ac:dyDescent="0.25">
      <c r="A97" s="24">
        <v>1</v>
      </c>
      <c r="B97" s="33" t="s">
        <v>150</v>
      </c>
      <c r="C97" s="34"/>
      <c r="D97" s="34"/>
      <c r="E97" s="34">
        <f>SUM(F97:I97)</f>
        <v>0</v>
      </c>
      <c r="F97" s="39">
        <v>0</v>
      </c>
      <c r="G97" s="34"/>
      <c r="H97" s="34"/>
      <c r="I97" s="34"/>
      <c r="J97" s="26"/>
      <c r="K97" s="26"/>
    </row>
    <row r="98" spans="1:11" ht="21" customHeight="1" x14ac:dyDescent="0.25">
      <c r="A98" s="24">
        <v>2</v>
      </c>
      <c r="B98" s="33" t="s">
        <v>151</v>
      </c>
      <c r="C98" s="34">
        <f>+C96+C97</f>
        <v>341300</v>
      </c>
      <c r="D98" s="34">
        <f>+D96+D97</f>
        <v>341300</v>
      </c>
      <c r="E98" s="34">
        <f>SUM(F98:I98)</f>
        <v>127934</v>
      </c>
      <c r="F98" s="39">
        <v>0</v>
      </c>
      <c r="G98" s="34">
        <v>127934</v>
      </c>
      <c r="H98" s="34"/>
      <c r="I98" s="34"/>
      <c r="J98" s="26">
        <f t="shared" si="16"/>
        <v>0.37484324641078232</v>
      </c>
      <c r="K98" s="26">
        <f t="shared" si="17"/>
        <v>0.37484324641078232</v>
      </c>
    </row>
    <row r="99" spans="1:11" ht="21" customHeight="1" x14ac:dyDescent="0.25">
      <c r="A99" s="23" t="s">
        <v>37</v>
      </c>
      <c r="B99" s="28" t="s">
        <v>152</v>
      </c>
      <c r="C99" s="34"/>
      <c r="D99" s="34"/>
      <c r="E99" s="34">
        <f>+E100+E101</f>
        <v>0</v>
      </c>
      <c r="F99" s="34">
        <f t="shared" ref="F99:I99" si="21">+F100+F101</f>
        <v>0</v>
      </c>
      <c r="G99" s="34">
        <f t="shared" si="21"/>
        <v>0</v>
      </c>
      <c r="H99" s="34">
        <f t="shared" si="21"/>
        <v>0</v>
      </c>
      <c r="I99" s="34">
        <f t="shared" si="21"/>
        <v>0</v>
      </c>
      <c r="J99" s="26"/>
      <c r="K99" s="26"/>
    </row>
    <row r="100" spans="1:11" ht="21" customHeight="1" x14ac:dyDescent="0.25">
      <c r="A100" s="24">
        <v>1</v>
      </c>
      <c r="B100" s="33" t="s">
        <v>150</v>
      </c>
      <c r="C100" s="34"/>
      <c r="D100" s="34"/>
      <c r="E100" s="34">
        <f>SUM(F100:I100)</f>
        <v>0</v>
      </c>
      <c r="F100" s="39">
        <v>0</v>
      </c>
      <c r="G100" s="34"/>
      <c r="H100" s="34"/>
      <c r="I100" s="34"/>
      <c r="J100" s="26"/>
      <c r="K100" s="26"/>
    </row>
    <row r="101" spans="1:11" ht="21" customHeight="1" x14ac:dyDescent="0.25">
      <c r="A101" s="24">
        <v>2</v>
      </c>
      <c r="B101" s="33" t="s">
        <v>151</v>
      </c>
      <c r="C101" s="34"/>
      <c r="D101" s="34"/>
      <c r="E101" s="34">
        <f>SUM(F101:I101)</f>
        <v>0</v>
      </c>
      <c r="F101" s="39">
        <v>0</v>
      </c>
      <c r="G101" s="34"/>
      <c r="H101" s="34"/>
      <c r="I101" s="34"/>
      <c r="J101" s="26"/>
      <c r="K101" s="26"/>
    </row>
    <row r="102" spans="1:11" s="32" customFormat="1" ht="21" customHeight="1" x14ac:dyDescent="0.2">
      <c r="A102" s="85" t="s">
        <v>52</v>
      </c>
      <c r="B102" s="28" t="s">
        <v>153</v>
      </c>
      <c r="C102" s="29">
        <f>SUM(C103,C111)</f>
        <v>10592417</v>
      </c>
      <c r="D102" s="29">
        <f>SUM(D103,D111)</f>
        <v>10592417</v>
      </c>
      <c r="E102" s="29">
        <f>+E103+E111</f>
        <v>21800566</v>
      </c>
      <c r="F102" s="29">
        <f t="shared" ref="F102:I102" si="22">+F103+F111</f>
        <v>0</v>
      </c>
      <c r="G102" s="29">
        <f t="shared" si="22"/>
        <v>10959365</v>
      </c>
      <c r="H102" s="29">
        <f t="shared" si="22"/>
        <v>7555013</v>
      </c>
      <c r="I102" s="29">
        <f t="shared" si="22"/>
        <v>3286188</v>
      </c>
      <c r="J102" s="30">
        <f t="shared" si="16"/>
        <v>2.0581295090629457</v>
      </c>
      <c r="K102" s="30">
        <f t="shared" si="17"/>
        <v>2.0581295090629457</v>
      </c>
    </row>
    <row r="103" spans="1:11" s="32" customFormat="1" ht="21" customHeight="1" x14ac:dyDescent="0.2">
      <c r="A103" s="85" t="s">
        <v>19</v>
      </c>
      <c r="B103" s="28" t="s">
        <v>154</v>
      </c>
      <c r="C103" s="29">
        <f>SUM(C104,C105,C108,C109,C110)</f>
        <v>10592417</v>
      </c>
      <c r="D103" s="29">
        <f>SUM(D104,D105,D108,D109,D110)</f>
        <v>10592417</v>
      </c>
      <c r="E103" s="29">
        <f>+E104+E105+E108+E109+E110</f>
        <v>21792774</v>
      </c>
      <c r="F103" s="29">
        <f t="shared" ref="F103:I103" si="23">+F104+F105+F108+F109+F110</f>
        <v>0</v>
      </c>
      <c r="G103" s="29">
        <f t="shared" si="23"/>
        <v>10959365</v>
      </c>
      <c r="H103" s="29">
        <f t="shared" si="23"/>
        <v>7547221</v>
      </c>
      <c r="I103" s="29">
        <f t="shared" si="23"/>
        <v>3286188</v>
      </c>
      <c r="J103" s="30">
        <f t="shared" si="16"/>
        <v>2.0573938884770113</v>
      </c>
      <c r="K103" s="30">
        <f t="shared" si="17"/>
        <v>2.0573938884770113</v>
      </c>
    </row>
    <row r="104" spans="1:11" ht="21" customHeight="1" x14ac:dyDescent="0.25">
      <c r="A104" s="24">
        <v>1</v>
      </c>
      <c r="B104" s="33" t="s">
        <v>155</v>
      </c>
      <c r="C104" s="34">
        <f>5950191</f>
        <v>5950191</v>
      </c>
      <c r="D104" s="34">
        <v>5950191</v>
      </c>
      <c r="E104" s="34">
        <f>SUM(F104:I104)</f>
        <v>13242833</v>
      </c>
      <c r="F104" s="39">
        <v>0</v>
      </c>
      <c r="G104" s="34">
        <v>6728956</v>
      </c>
      <c r="H104" s="34">
        <v>5506558</v>
      </c>
      <c r="I104" s="34">
        <v>1007319</v>
      </c>
      <c r="J104" s="26">
        <f t="shared" si="16"/>
        <v>2.2256147743828727</v>
      </c>
      <c r="K104" s="26">
        <f t="shared" si="17"/>
        <v>2.2256147743828727</v>
      </c>
    </row>
    <row r="105" spans="1:11" ht="21" customHeight="1" x14ac:dyDescent="0.25">
      <c r="A105" s="24">
        <v>2</v>
      </c>
      <c r="B105" s="33" t="s">
        <v>51</v>
      </c>
      <c r="C105" s="34">
        <f>SUM(C106,C107)</f>
        <v>1991802</v>
      </c>
      <c r="D105" s="34">
        <f>SUM(D106,D107)</f>
        <v>1991802</v>
      </c>
      <c r="E105" s="34">
        <f t="shared" ref="E105:E113" si="24">SUM(F105:I105)</f>
        <v>8549941</v>
      </c>
      <c r="F105" s="39">
        <v>0</v>
      </c>
      <c r="G105" s="34">
        <v>4230409</v>
      </c>
      <c r="H105" s="34">
        <v>2040663</v>
      </c>
      <c r="I105" s="34">
        <v>2278869</v>
      </c>
      <c r="J105" s="26">
        <f t="shared" si="16"/>
        <v>4.2925657269146233</v>
      </c>
      <c r="K105" s="26">
        <f t="shared" si="17"/>
        <v>4.2925657269146233</v>
      </c>
    </row>
    <row r="106" spans="1:11" ht="27" customHeight="1" x14ac:dyDescent="0.25">
      <c r="A106" s="43" t="s">
        <v>215</v>
      </c>
      <c r="B106" s="40" t="s">
        <v>156</v>
      </c>
      <c r="C106" s="34">
        <v>1290000</v>
      </c>
      <c r="D106" s="34">
        <v>1290000</v>
      </c>
      <c r="E106" s="34">
        <f t="shared" si="24"/>
        <v>8090464</v>
      </c>
      <c r="F106" s="39">
        <v>0</v>
      </c>
      <c r="G106" s="34">
        <v>3770932</v>
      </c>
      <c r="H106" s="34">
        <v>2040663</v>
      </c>
      <c r="I106" s="34">
        <v>2278869</v>
      </c>
      <c r="J106" s="26">
        <f t="shared" si="16"/>
        <v>6.2716775193798453</v>
      </c>
      <c r="K106" s="26">
        <f t="shared" si="17"/>
        <v>6.2716775193798453</v>
      </c>
    </row>
    <row r="107" spans="1:11" ht="27" customHeight="1" x14ac:dyDescent="0.25">
      <c r="A107" s="43" t="s">
        <v>216</v>
      </c>
      <c r="B107" s="40" t="s">
        <v>157</v>
      </c>
      <c r="C107" s="34">
        <v>701802</v>
      </c>
      <c r="D107" s="34">
        <v>701802</v>
      </c>
      <c r="E107" s="34">
        <f>SUM(F107:I107)</f>
        <v>459477</v>
      </c>
      <c r="F107" s="39">
        <v>0</v>
      </c>
      <c r="G107" s="34">
        <f>+G105-G106</f>
        <v>459477</v>
      </c>
      <c r="H107" s="34">
        <f t="shared" ref="H107" si="25">+H105-H106</f>
        <v>0</v>
      </c>
      <c r="I107" s="34">
        <f>+I105-I106</f>
        <v>0</v>
      </c>
      <c r="J107" s="26">
        <f t="shared" si="16"/>
        <v>0.65471030290594778</v>
      </c>
      <c r="K107" s="26">
        <f t="shared" si="17"/>
        <v>0.65471030290594778</v>
      </c>
    </row>
    <row r="108" spans="1:11" ht="26.25" customHeight="1" x14ac:dyDescent="0.25">
      <c r="A108" s="24">
        <v>3</v>
      </c>
      <c r="B108" s="33" t="s">
        <v>158</v>
      </c>
      <c r="C108" s="34">
        <v>1085848</v>
      </c>
      <c r="D108" s="34">
        <v>1085848</v>
      </c>
      <c r="E108" s="34">
        <f t="shared" si="24"/>
        <v>0</v>
      </c>
      <c r="F108" s="39">
        <v>0</v>
      </c>
      <c r="G108" s="34"/>
      <c r="H108" s="34"/>
      <c r="I108" s="34"/>
      <c r="J108" s="26">
        <f t="shared" si="16"/>
        <v>0</v>
      </c>
      <c r="K108" s="26">
        <f t="shared" si="17"/>
        <v>0</v>
      </c>
    </row>
    <row r="109" spans="1:11" ht="21" customHeight="1" x14ac:dyDescent="0.25">
      <c r="A109" s="24">
        <v>4</v>
      </c>
      <c r="B109" s="33" t="s">
        <v>159</v>
      </c>
      <c r="C109" s="34">
        <v>785811</v>
      </c>
      <c r="D109" s="34">
        <v>785811</v>
      </c>
      <c r="E109" s="34">
        <f t="shared" si="24"/>
        <v>0</v>
      </c>
      <c r="F109" s="39">
        <v>0</v>
      </c>
      <c r="G109" s="34"/>
      <c r="H109" s="34"/>
      <c r="I109" s="34"/>
      <c r="J109" s="26">
        <f t="shared" si="16"/>
        <v>0</v>
      </c>
      <c r="K109" s="26">
        <f t="shared" si="17"/>
        <v>0</v>
      </c>
    </row>
    <row r="110" spans="1:11" ht="21" customHeight="1" x14ac:dyDescent="0.25">
      <c r="A110" s="24">
        <v>5</v>
      </c>
      <c r="B110" s="33" t="s">
        <v>160</v>
      </c>
      <c r="C110" s="34">
        <v>778765</v>
      </c>
      <c r="D110" s="34">
        <v>778765</v>
      </c>
      <c r="E110" s="34">
        <f t="shared" si="24"/>
        <v>0</v>
      </c>
      <c r="F110" s="39">
        <v>0</v>
      </c>
      <c r="G110" s="34"/>
      <c r="H110" s="34"/>
      <c r="I110" s="34"/>
      <c r="J110" s="26">
        <f t="shared" si="16"/>
        <v>0</v>
      </c>
      <c r="K110" s="26">
        <f t="shared" si="17"/>
        <v>0</v>
      </c>
    </row>
    <row r="111" spans="1:11" s="32" customFormat="1" ht="21" customHeight="1" x14ac:dyDescent="0.2">
      <c r="A111" s="85" t="s">
        <v>37</v>
      </c>
      <c r="B111" s="28" t="s">
        <v>161</v>
      </c>
      <c r="C111" s="29"/>
      <c r="D111" s="29"/>
      <c r="E111" s="29">
        <f t="shared" si="24"/>
        <v>7792</v>
      </c>
      <c r="F111" s="100">
        <v>0</v>
      </c>
      <c r="G111" s="29">
        <v>0</v>
      </c>
      <c r="H111" s="29">
        <v>7792</v>
      </c>
      <c r="I111" s="29">
        <v>0</v>
      </c>
      <c r="J111" s="30"/>
      <c r="K111" s="30"/>
    </row>
    <row r="112" spans="1:11" s="32" customFormat="1" ht="21" customHeight="1" x14ac:dyDescent="0.2">
      <c r="A112" s="85" t="s">
        <v>54</v>
      </c>
      <c r="B112" s="28" t="s">
        <v>162</v>
      </c>
      <c r="C112" s="29"/>
      <c r="D112" s="29">
        <v>400000</v>
      </c>
      <c r="E112" s="29">
        <f t="shared" si="24"/>
        <v>6326483</v>
      </c>
      <c r="F112" s="100">
        <v>0</v>
      </c>
      <c r="G112" s="29">
        <v>4877684</v>
      </c>
      <c r="H112" s="29">
        <v>1119015</v>
      </c>
      <c r="I112" s="29">
        <v>329784</v>
      </c>
      <c r="J112" s="30"/>
      <c r="K112" s="30">
        <f t="shared" si="17"/>
        <v>15.816207500000001</v>
      </c>
    </row>
    <row r="113" spans="1:11" s="32" customFormat="1" ht="21" customHeight="1" x14ac:dyDescent="0.2">
      <c r="A113" s="85" t="s">
        <v>163</v>
      </c>
      <c r="B113" s="28" t="s">
        <v>164</v>
      </c>
      <c r="C113" s="29"/>
      <c r="D113" s="29"/>
      <c r="E113" s="29">
        <f t="shared" si="24"/>
        <v>186519</v>
      </c>
      <c r="F113" s="100">
        <v>0</v>
      </c>
      <c r="G113" s="29">
        <v>54856</v>
      </c>
      <c r="H113" s="29">
        <v>114956</v>
      </c>
      <c r="I113" s="29">
        <v>16707</v>
      </c>
      <c r="J113" s="30"/>
      <c r="K113" s="30"/>
    </row>
    <row r="114" spans="1:11" x14ac:dyDescent="0.25">
      <c r="A114" s="44"/>
    </row>
    <row r="116" spans="1:11" x14ac:dyDescent="0.25">
      <c r="G116" s="111" t="s">
        <v>179</v>
      </c>
      <c r="H116" s="111"/>
      <c r="I116" s="111"/>
      <c r="J116" s="111"/>
      <c r="K116" s="111"/>
    </row>
  </sheetData>
  <mergeCells count="13">
    <mergeCell ref="G116:K116"/>
    <mergeCell ref="J1:K1"/>
    <mergeCell ref="A2:K2"/>
    <mergeCell ref="A3:K4"/>
    <mergeCell ref="J5:K5"/>
    <mergeCell ref="A6:A7"/>
    <mergeCell ref="B6:B7"/>
    <mergeCell ref="C6:D6"/>
    <mergeCell ref="E6:E7"/>
    <mergeCell ref="F6:I6"/>
    <mergeCell ref="J6:K6"/>
    <mergeCell ref="D14:D23"/>
    <mergeCell ref="K14:K23"/>
  </mergeCells>
  <printOptions horizontalCentered="1"/>
  <pageMargins left="0.25" right="0.25" top="0.75" bottom="0.75" header="0.3" footer="0.25"/>
  <pageSetup paperSize="9" scale="92" fitToHeight="0" orientation="landscape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58"/>
  <sheetViews>
    <sheetView workbookViewId="0">
      <pane ySplit="6" topLeftCell="A7" activePane="bottomLeft" state="frozen"/>
      <selection pane="bottomLeft" activeCell="B51" sqref="B51"/>
    </sheetView>
  </sheetViews>
  <sheetFormatPr defaultRowHeight="15" x14ac:dyDescent="0.25"/>
  <cols>
    <col min="1" max="1" width="6.5703125" style="21" customWidth="1"/>
    <col min="2" max="2" width="35.28515625" style="21" customWidth="1"/>
    <col min="3" max="3" width="12.28515625" style="42" customWidth="1"/>
    <col min="4" max="4" width="14.5703125" style="42" customWidth="1"/>
    <col min="5" max="5" width="13.5703125" style="42" customWidth="1"/>
    <col min="6" max="6" width="13.28515625" style="42" customWidth="1"/>
    <col min="7" max="7" width="13.85546875" style="42" customWidth="1"/>
    <col min="8" max="8" width="11.28515625" style="42" customWidth="1"/>
    <col min="9" max="9" width="11.7109375" style="21" customWidth="1"/>
    <col min="10" max="11" width="12.7109375" style="21" customWidth="1"/>
    <col min="12" max="12" width="12.7109375" style="37" customWidth="1"/>
    <col min="13" max="13" width="9.7109375" style="62" customWidth="1"/>
    <col min="14" max="16" width="7.85546875" style="37" customWidth="1"/>
    <col min="17" max="17" width="25.140625" style="21" customWidth="1"/>
    <col min="18" max="16384" width="9.140625" style="21"/>
  </cols>
  <sheetData>
    <row r="1" spans="1:17" ht="21.75" customHeight="1" x14ac:dyDescent="0.25">
      <c r="A1" s="45"/>
      <c r="B1" s="46"/>
      <c r="C1" s="69"/>
      <c r="D1" s="69"/>
      <c r="E1" s="69"/>
      <c r="F1" s="69"/>
      <c r="G1" s="69"/>
      <c r="H1" s="69"/>
      <c r="I1" s="112" t="s">
        <v>0</v>
      </c>
      <c r="J1" s="112"/>
      <c r="K1" s="52"/>
      <c r="L1" s="53"/>
      <c r="M1" s="54"/>
      <c r="N1" s="53"/>
      <c r="O1" s="53"/>
      <c r="P1" s="53"/>
    </row>
    <row r="2" spans="1:17" ht="16.5" x14ac:dyDescent="0.25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55"/>
      <c r="L2" s="56"/>
      <c r="M2" s="57"/>
      <c r="N2" s="56"/>
      <c r="O2" s="56"/>
      <c r="P2" s="56"/>
    </row>
    <row r="3" spans="1:17" ht="16.5" x14ac:dyDescent="0.25">
      <c r="A3" s="114" t="str">
        <f>'MB 61 thu 2020'!A3:K4</f>
        <v>(Kèm theo Báo cáo số          /BC-UBND ngày ….../12/2021 của UBND tỉnh)</v>
      </c>
      <c r="B3" s="114"/>
      <c r="C3" s="114"/>
      <c r="D3" s="114"/>
      <c r="E3" s="114"/>
      <c r="F3" s="114"/>
      <c r="G3" s="114"/>
      <c r="H3" s="114"/>
      <c r="I3" s="114"/>
      <c r="J3" s="114"/>
      <c r="K3" s="58"/>
      <c r="L3" s="59"/>
      <c r="M3" s="60"/>
      <c r="N3" s="59"/>
      <c r="O3" s="59"/>
      <c r="P3" s="59"/>
    </row>
    <row r="4" spans="1:17" x14ac:dyDescent="0.25">
      <c r="I4" s="61" t="s">
        <v>2</v>
      </c>
    </row>
    <row r="5" spans="1:17" s="32" customFormat="1" ht="20.25" customHeight="1" x14ac:dyDescent="0.2">
      <c r="A5" s="117"/>
      <c r="B5" s="117" t="s">
        <v>3</v>
      </c>
      <c r="C5" s="125" t="s">
        <v>4</v>
      </c>
      <c r="D5" s="125"/>
      <c r="E5" s="125" t="s">
        <v>5</v>
      </c>
      <c r="F5" s="125"/>
      <c r="G5" s="125"/>
      <c r="H5" s="125"/>
      <c r="I5" s="117" t="s">
        <v>6</v>
      </c>
      <c r="J5" s="117"/>
      <c r="K5" s="63"/>
      <c r="L5" s="64"/>
      <c r="M5" s="65"/>
      <c r="N5" s="64"/>
      <c r="O5" s="64"/>
      <c r="P5" s="64"/>
    </row>
    <row r="6" spans="1:17" s="32" customFormat="1" ht="33" customHeight="1" x14ac:dyDescent="0.2">
      <c r="A6" s="117"/>
      <c r="B6" s="117"/>
      <c r="C6" s="47" t="s">
        <v>7</v>
      </c>
      <c r="D6" s="47" t="s">
        <v>8</v>
      </c>
      <c r="E6" s="47" t="s">
        <v>9</v>
      </c>
      <c r="F6" s="47" t="s">
        <v>10</v>
      </c>
      <c r="G6" s="47" t="s">
        <v>11</v>
      </c>
      <c r="H6" s="47" t="s">
        <v>12</v>
      </c>
      <c r="I6" s="23" t="s">
        <v>7</v>
      </c>
      <c r="J6" s="23" t="s">
        <v>8</v>
      </c>
      <c r="K6" s="63"/>
      <c r="L6" s="64"/>
      <c r="M6" s="65"/>
      <c r="N6" s="64"/>
      <c r="O6" s="64"/>
      <c r="P6" s="64"/>
    </row>
    <row r="7" spans="1:17" s="66" customFormat="1" ht="29.25" customHeight="1" x14ac:dyDescent="0.2">
      <c r="A7" s="70" t="s">
        <v>13</v>
      </c>
      <c r="B7" s="70" t="s">
        <v>14</v>
      </c>
      <c r="C7" s="71">
        <v>1</v>
      </c>
      <c r="D7" s="71">
        <v>2</v>
      </c>
      <c r="E7" s="71" t="s">
        <v>180</v>
      </c>
      <c r="F7" s="71">
        <v>4</v>
      </c>
      <c r="G7" s="71">
        <v>5</v>
      </c>
      <c r="H7" s="71">
        <v>6</v>
      </c>
      <c r="I7" s="70" t="s">
        <v>15</v>
      </c>
      <c r="J7" s="70" t="s">
        <v>16</v>
      </c>
      <c r="K7" s="72"/>
      <c r="L7" s="72"/>
      <c r="M7" s="72"/>
      <c r="N7" s="72"/>
      <c r="O7" s="72"/>
      <c r="P7" s="72"/>
    </row>
    <row r="8" spans="1:17" ht="22.5" customHeight="1" x14ac:dyDescent="0.25">
      <c r="A8" s="67"/>
      <c r="B8" s="68" t="s">
        <v>17</v>
      </c>
      <c r="C8" s="50"/>
      <c r="D8" s="48">
        <f>+D9+D46+D51+D52</f>
        <v>23738940</v>
      </c>
      <c r="E8" s="48">
        <f>+E9+E46+E51+E52</f>
        <v>35748599</v>
      </c>
      <c r="F8" s="48">
        <f>+F9+F46+F51+F52</f>
        <v>20295281</v>
      </c>
      <c r="G8" s="48">
        <f>+G9+G46+G51+G52</f>
        <v>10739377</v>
      </c>
      <c r="H8" s="48">
        <f>+H9+H46+H51+H52</f>
        <v>4713941</v>
      </c>
      <c r="I8" s="73"/>
      <c r="J8" s="87">
        <f>E8/D8</f>
        <v>1.5059054448092459</v>
      </c>
      <c r="K8" s="74"/>
      <c r="L8" s="75"/>
      <c r="M8" s="76"/>
      <c r="N8" s="75"/>
      <c r="O8" s="75"/>
      <c r="P8" s="75"/>
    </row>
    <row r="9" spans="1:17" s="32" customFormat="1" ht="22.5" customHeight="1" x14ac:dyDescent="0.2">
      <c r="A9" s="68" t="s">
        <v>13</v>
      </c>
      <c r="B9" s="77" t="s">
        <v>18</v>
      </c>
      <c r="C9" s="48">
        <f t="shared" ref="C9:H9" si="0">+C10+C27+C41+C42+C43+C44+C45</f>
        <v>16282297</v>
      </c>
      <c r="D9" s="48">
        <f t="shared" si="0"/>
        <v>17968072</v>
      </c>
      <c r="E9" s="48">
        <f t="shared" si="0"/>
        <v>24899539</v>
      </c>
      <c r="F9" s="48">
        <f t="shared" si="0"/>
        <v>12740201</v>
      </c>
      <c r="G9" s="48">
        <f t="shared" si="0"/>
        <v>7453189</v>
      </c>
      <c r="H9" s="48">
        <f t="shared" si="0"/>
        <v>4706149</v>
      </c>
      <c r="I9" s="87">
        <f>E9/C9</f>
        <v>1.5292399469190372</v>
      </c>
      <c r="J9" s="87">
        <f t="shared" ref="J9:J10" si="1">E9/D9</f>
        <v>1.385765762737371</v>
      </c>
      <c r="K9" s="88"/>
      <c r="L9" s="89"/>
      <c r="M9" s="90"/>
      <c r="N9" s="89"/>
      <c r="O9" s="89"/>
      <c r="P9" s="89"/>
    </row>
    <row r="10" spans="1:17" s="32" customFormat="1" ht="22.5" customHeight="1" x14ac:dyDescent="0.2">
      <c r="A10" s="68" t="s">
        <v>19</v>
      </c>
      <c r="B10" s="77" t="s">
        <v>20</v>
      </c>
      <c r="C10" s="48">
        <f>2173988+607187+1991802</f>
        <v>4772977</v>
      </c>
      <c r="D10" s="48">
        <v>6006865</v>
      </c>
      <c r="E10" s="48">
        <f>+E11+E25+E26</f>
        <v>7088101</v>
      </c>
      <c r="F10" s="48">
        <f>+F11+F25+F26</f>
        <v>3588537</v>
      </c>
      <c r="G10" s="48">
        <f>+G11+G25+G26</f>
        <v>1461424</v>
      </c>
      <c r="H10" s="48">
        <f>+H11+H25+H26</f>
        <v>2038140</v>
      </c>
      <c r="I10" s="87">
        <f>E10/C10</f>
        <v>1.4850482204293043</v>
      </c>
      <c r="J10" s="87">
        <f t="shared" si="1"/>
        <v>1.1800000499428571</v>
      </c>
      <c r="K10" s="88"/>
      <c r="L10" s="89"/>
      <c r="M10" s="90"/>
      <c r="N10" s="89"/>
      <c r="O10" s="89"/>
      <c r="P10" s="89"/>
      <c r="Q10" s="31"/>
    </row>
    <row r="11" spans="1:17" ht="32.25" customHeight="1" x14ac:dyDescent="0.25">
      <c r="A11" s="78">
        <v>1</v>
      </c>
      <c r="B11" s="67" t="s">
        <v>21</v>
      </c>
      <c r="C11" s="50"/>
      <c r="D11" s="50"/>
      <c r="E11" s="50">
        <f>+SUM(E12:E24)</f>
        <v>6995434</v>
      </c>
      <c r="F11" s="50">
        <f>+SUM(F12:F24)</f>
        <v>3495870</v>
      </c>
      <c r="G11" s="50">
        <f>+SUM(G12:G24)</f>
        <v>1461424</v>
      </c>
      <c r="H11" s="50">
        <f>+SUM(H12:H24)</f>
        <v>2038140</v>
      </c>
      <c r="I11" s="78"/>
      <c r="J11" s="78"/>
      <c r="K11" s="79"/>
      <c r="L11" s="80"/>
      <c r="M11" s="81"/>
      <c r="N11" s="80"/>
      <c r="O11" s="80"/>
      <c r="P11" s="80"/>
    </row>
    <row r="12" spans="1:17" ht="22.5" customHeight="1" x14ac:dyDescent="0.25">
      <c r="A12" s="78" t="s">
        <v>199</v>
      </c>
      <c r="B12" s="67" t="s">
        <v>22</v>
      </c>
      <c r="C12" s="50"/>
      <c r="D12" s="50"/>
      <c r="E12" s="50">
        <f>+F12+G12+H12</f>
        <v>116044</v>
      </c>
      <c r="F12" s="50">
        <v>113950</v>
      </c>
      <c r="G12" s="50">
        <v>2094</v>
      </c>
      <c r="H12" s="50">
        <v>0</v>
      </c>
      <c r="I12" s="78"/>
      <c r="J12" s="78"/>
      <c r="K12" s="79"/>
      <c r="L12" s="80"/>
      <c r="M12" s="81"/>
      <c r="N12" s="80"/>
      <c r="O12" s="80"/>
      <c r="P12" s="80"/>
    </row>
    <row r="13" spans="1:17" ht="22.5" customHeight="1" x14ac:dyDescent="0.25">
      <c r="A13" s="78" t="s">
        <v>200</v>
      </c>
      <c r="B13" s="67" t="s">
        <v>23</v>
      </c>
      <c r="C13" s="50"/>
      <c r="D13" s="50"/>
      <c r="E13" s="50">
        <f t="shared" ref="E13:E24" si="2">+F13+G13+H13</f>
        <v>12903</v>
      </c>
      <c r="F13" s="50">
        <v>7719</v>
      </c>
      <c r="G13" s="50">
        <v>5184</v>
      </c>
      <c r="H13" s="50">
        <v>0</v>
      </c>
      <c r="I13" s="78"/>
      <c r="J13" s="78"/>
      <c r="K13" s="79"/>
      <c r="L13" s="80"/>
      <c r="M13" s="81"/>
      <c r="N13" s="80"/>
      <c r="O13" s="80"/>
      <c r="P13" s="80"/>
    </row>
    <row r="14" spans="1:17" ht="23.25" customHeight="1" x14ac:dyDescent="0.25">
      <c r="A14" s="78" t="s">
        <v>201</v>
      </c>
      <c r="B14" s="67" t="s">
        <v>24</v>
      </c>
      <c r="C14" s="50"/>
      <c r="D14" s="50"/>
      <c r="E14" s="50">
        <f t="shared" si="2"/>
        <v>873119</v>
      </c>
      <c r="F14" s="50">
        <v>144454</v>
      </c>
      <c r="G14" s="50">
        <v>296404</v>
      </c>
      <c r="H14" s="50">
        <v>432261</v>
      </c>
      <c r="I14" s="78"/>
      <c r="J14" s="78"/>
      <c r="K14" s="79"/>
      <c r="L14" s="80"/>
      <c r="M14" s="81"/>
      <c r="N14" s="80"/>
      <c r="O14" s="80"/>
      <c r="P14" s="80"/>
    </row>
    <row r="15" spans="1:17" ht="20.25" customHeight="1" x14ac:dyDescent="0.25">
      <c r="A15" s="78" t="s">
        <v>202</v>
      </c>
      <c r="B15" s="67" t="s">
        <v>25</v>
      </c>
      <c r="C15" s="50"/>
      <c r="D15" s="50"/>
      <c r="E15" s="50">
        <f t="shared" si="2"/>
        <v>1825</v>
      </c>
      <c r="F15" s="50">
        <v>1825</v>
      </c>
      <c r="G15" s="50">
        <v>0</v>
      </c>
      <c r="H15" s="50">
        <v>0</v>
      </c>
      <c r="I15" s="78"/>
      <c r="J15" s="78"/>
      <c r="K15" s="79"/>
      <c r="L15" s="80"/>
      <c r="M15" s="81"/>
      <c r="N15" s="80"/>
      <c r="O15" s="80"/>
      <c r="P15" s="80"/>
    </row>
    <row r="16" spans="1:17" ht="21" customHeight="1" x14ac:dyDescent="0.25">
      <c r="A16" s="78" t="s">
        <v>203</v>
      </c>
      <c r="B16" s="67" t="s">
        <v>26</v>
      </c>
      <c r="C16" s="50"/>
      <c r="D16" s="50"/>
      <c r="E16" s="50">
        <f t="shared" si="2"/>
        <v>113547</v>
      </c>
      <c r="F16" s="50">
        <v>98925</v>
      </c>
      <c r="G16" s="50">
        <v>1932</v>
      </c>
      <c r="H16" s="50">
        <v>12690</v>
      </c>
      <c r="I16" s="78"/>
      <c r="J16" s="78"/>
      <c r="K16" s="79"/>
      <c r="L16" s="80"/>
      <c r="M16" s="81"/>
      <c r="N16" s="80"/>
      <c r="O16" s="80"/>
      <c r="P16" s="80"/>
    </row>
    <row r="17" spans="1:16" ht="28.5" customHeight="1" x14ac:dyDescent="0.25">
      <c r="A17" s="78" t="s">
        <v>204</v>
      </c>
      <c r="B17" s="67" t="s">
        <v>27</v>
      </c>
      <c r="C17" s="50"/>
      <c r="D17" s="50"/>
      <c r="E17" s="50">
        <f t="shared" si="2"/>
        <v>111323</v>
      </c>
      <c r="F17" s="50">
        <v>38633</v>
      </c>
      <c r="G17" s="50">
        <v>30369</v>
      </c>
      <c r="H17" s="50">
        <v>42321</v>
      </c>
      <c r="I17" s="78"/>
      <c r="J17" s="78"/>
      <c r="K17" s="79"/>
      <c r="L17" s="80"/>
      <c r="M17" s="81"/>
      <c r="N17" s="80"/>
      <c r="O17" s="80"/>
      <c r="P17" s="80"/>
    </row>
    <row r="18" spans="1:16" ht="28.5" customHeight="1" x14ac:dyDescent="0.25">
      <c r="A18" s="78" t="s">
        <v>205</v>
      </c>
      <c r="B18" s="67" t="s">
        <v>28</v>
      </c>
      <c r="C18" s="50"/>
      <c r="D18" s="50"/>
      <c r="E18" s="50">
        <f t="shared" si="2"/>
        <v>19108</v>
      </c>
      <c r="F18" s="50">
        <v>17278</v>
      </c>
      <c r="G18" s="50">
        <v>331</v>
      </c>
      <c r="H18" s="50">
        <v>1499</v>
      </c>
      <c r="I18" s="78"/>
      <c r="J18" s="78"/>
      <c r="K18" s="79"/>
      <c r="L18" s="80"/>
      <c r="M18" s="81"/>
      <c r="N18" s="80"/>
      <c r="O18" s="80"/>
      <c r="P18" s="80"/>
    </row>
    <row r="19" spans="1:16" ht="28.5" customHeight="1" x14ac:dyDescent="0.25">
      <c r="A19" s="78" t="s">
        <v>206</v>
      </c>
      <c r="B19" s="67" t="s">
        <v>29</v>
      </c>
      <c r="C19" s="50"/>
      <c r="D19" s="50"/>
      <c r="E19" s="50">
        <f t="shared" si="2"/>
        <v>71844</v>
      </c>
      <c r="F19" s="50">
        <v>25572</v>
      </c>
      <c r="G19" s="50">
        <v>22308</v>
      </c>
      <c r="H19" s="50">
        <v>23964</v>
      </c>
      <c r="I19" s="78"/>
      <c r="J19" s="78"/>
      <c r="K19" s="79"/>
      <c r="L19" s="80"/>
      <c r="M19" s="81"/>
      <c r="N19" s="80"/>
      <c r="O19" s="80"/>
      <c r="P19" s="80"/>
    </row>
    <row r="20" spans="1:16" ht="28.5" customHeight="1" x14ac:dyDescent="0.25">
      <c r="A20" s="78" t="s">
        <v>207</v>
      </c>
      <c r="B20" s="67" t="s">
        <v>30</v>
      </c>
      <c r="C20" s="50"/>
      <c r="D20" s="50"/>
      <c r="E20" s="50">
        <f t="shared" si="2"/>
        <v>470152</v>
      </c>
      <c r="F20" s="50">
        <v>446506</v>
      </c>
      <c r="G20" s="50">
        <v>19376</v>
      </c>
      <c r="H20" s="50">
        <v>4270</v>
      </c>
      <c r="I20" s="78"/>
      <c r="J20" s="78"/>
      <c r="K20" s="79"/>
      <c r="L20" s="80"/>
      <c r="M20" s="81"/>
      <c r="N20" s="80"/>
      <c r="O20" s="80"/>
      <c r="P20" s="80"/>
    </row>
    <row r="21" spans="1:16" ht="28.5" customHeight="1" x14ac:dyDescent="0.25">
      <c r="A21" s="78" t="s">
        <v>208</v>
      </c>
      <c r="B21" s="67" t="s">
        <v>31</v>
      </c>
      <c r="C21" s="50"/>
      <c r="D21" s="50"/>
      <c r="E21" s="50">
        <f t="shared" si="2"/>
        <v>4620462</v>
      </c>
      <c r="F21" s="50">
        <f>3603529-1165098</f>
        <v>2438431</v>
      </c>
      <c r="G21" s="50">
        <v>965838</v>
      </c>
      <c r="H21" s="50">
        <v>1216193</v>
      </c>
      <c r="I21" s="78"/>
      <c r="J21" s="78"/>
      <c r="K21" s="79"/>
      <c r="L21" s="80"/>
      <c r="M21" s="81"/>
      <c r="N21" s="80"/>
      <c r="O21" s="80"/>
      <c r="P21" s="80"/>
    </row>
    <row r="22" spans="1:16" ht="35.25" customHeight="1" x14ac:dyDescent="0.25">
      <c r="A22" s="78" t="s">
        <v>209</v>
      </c>
      <c r="B22" s="67" t="s">
        <v>32</v>
      </c>
      <c r="C22" s="50"/>
      <c r="D22" s="50"/>
      <c r="E22" s="50">
        <f t="shared" si="2"/>
        <v>544273</v>
      </c>
      <c r="F22" s="50">
        <v>152427</v>
      </c>
      <c r="G22" s="50">
        <v>111332</v>
      </c>
      <c r="H22" s="50">
        <v>280514</v>
      </c>
      <c r="I22" s="78"/>
      <c r="J22" s="78"/>
      <c r="K22" s="79"/>
      <c r="L22" s="80"/>
      <c r="M22" s="81"/>
      <c r="N22" s="80"/>
      <c r="O22" s="80"/>
      <c r="P22" s="80"/>
    </row>
    <row r="23" spans="1:16" ht="25.5" customHeight="1" x14ac:dyDescent="0.25">
      <c r="A23" s="78" t="s">
        <v>210</v>
      </c>
      <c r="B23" s="67" t="s">
        <v>33</v>
      </c>
      <c r="C23" s="50"/>
      <c r="D23" s="50"/>
      <c r="E23" s="50">
        <f t="shared" si="2"/>
        <v>35638</v>
      </c>
      <c r="F23" s="50">
        <v>10095</v>
      </c>
      <c r="G23" s="50">
        <v>2657</v>
      </c>
      <c r="H23" s="50">
        <v>22886</v>
      </c>
      <c r="I23" s="78"/>
      <c r="J23" s="78"/>
      <c r="K23" s="79"/>
      <c r="L23" s="80"/>
      <c r="M23" s="81"/>
      <c r="N23" s="80"/>
      <c r="O23" s="80"/>
      <c r="P23" s="80"/>
    </row>
    <row r="24" spans="1:16" ht="25.5" customHeight="1" x14ac:dyDescent="0.25">
      <c r="A24" s="78" t="s">
        <v>211</v>
      </c>
      <c r="B24" s="67" t="s">
        <v>34</v>
      </c>
      <c r="C24" s="50"/>
      <c r="D24" s="50"/>
      <c r="E24" s="50">
        <f t="shared" si="2"/>
        <v>5196</v>
      </c>
      <c r="F24" s="50">
        <v>55</v>
      </c>
      <c r="G24" s="50">
        <v>3599</v>
      </c>
      <c r="H24" s="50">
        <v>1542</v>
      </c>
      <c r="I24" s="78"/>
      <c r="J24" s="78"/>
      <c r="K24" s="79"/>
      <c r="L24" s="80"/>
      <c r="M24" s="81"/>
      <c r="N24" s="80"/>
      <c r="O24" s="80"/>
      <c r="P24" s="80"/>
    </row>
    <row r="25" spans="1:16" ht="30" x14ac:dyDescent="0.25">
      <c r="A25" s="78">
        <v>2</v>
      </c>
      <c r="B25" s="67" t="s">
        <v>35</v>
      </c>
      <c r="C25" s="50"/>
      <c r="D25" s="50"/>
      <c r="E25" s="50"/>
      <c r="F25" s="50"/>
      <c r="G25" s="50"/>
      <c r="H25" s="50"/>
      <c r="I25" s="78"/>
      <c r="J25" s="78"/>
      <c r="K25" s="79"/>
      <c r="L25" s="80"/>
      <c r="M25" s="81"/>
      <c r="N25" s="80"/>
      <c r="O25" s="80"/>
      <c r="P25" s="80"/>
    </row>
    <row r="26" spans="1:16" ht="28.5" customHeight="1" x14ac:dyDescent="0.25">
      <c r="A26" s="78">
        <v>3</v>
      </c>
      <c r="B26" s="67" t="s">
        <v>36</v>
      </c>
      <c r="C26" s="50"/>
      <c r="D26" s="50"/>
      <c r="E26" s="50">
        <f t="shared" ref="E26:E55" si="3">SUM(F26,G26,H26)</f>
        <v>92667</v>
      </c>
      <c r="F26" s="50">
        <v>92667</v>
      </c>
      <c r="G26" s="50">
        <v>0</v>
      </c>
      <c r="H26" s="50">
        <v>0</v>
      </c>
      <c r="I26" s="78"/>
      <c r="J26" s="78"/>
      <c r="K26" s="79"/>
      <c r="L26" s="80"/>
      <c r="M26" s="81"/>
      <c r="N26" s="80"/>
      <c r="O26" s="80"/>
      <c r="P26" s="80"/>
    </row>
    <row r="27" spans="1:16" s="83" customFormat="1" ht="24.75" customHeight="1" x14ac:dyDescent="0.2">
      <c r="A27" s="85" t="s">
        <v>37</v>
      </c>
      <c r="B27" s="28" t="s">
        <v>38</v>
      </c>
      <c r="C27" s="51">
        <f>9995353+178624+1085848</f>
        <v>11259825</v>
      </c>
      <c r="D27" s="51">
        <f>D28+D29+D30+D31+D32+D33+D34+D35+D36+D37+D38+D39+D40</f>
        <v>11269174</v>
      </c>
      <c r="E27" s="51">
        <f>E28+E29+E30+E31+E32+E33+E34+E35+E36+E37+E38+E39+E40</f>
        <v>10549648</v>
      </c>
      <c r="F27" s="51">
        <f>F28+F29+F30+F31+F32+F33+F34+F35+F36+F37+F38+F39+F40</f>
        <v>3739129</v>
      </c>
      <c r="G27" s="51">
        <f>G28+G29+G30+G31+G32+G33+G34+G35+G36+G37+G38+G39+G40</f>
        <v>4606041</v>
      </c>
      <c r="H27" s="51">
        <f>H28+H29+H30+H31+H32+H33+H34+H35+H36+H37+H38+H39+H40</f>
        <v>2204478</v>
      </c>
      <c r="I27" s="30">
        <f>+E27/C27</f>
        <v>0.93692823822750348</v>
      </c>
      <c r="J27" s="30">
        <f>E27/D27</f>
        <v>0.93615095480822286</v>
      </c>
      <c r="K27" s="91"/>
      <c r="L27" s="92"/>
      <c r="M27" s="92"/>
      <c r="N27" s="93"/>
      <c r="O27" s="93"/>
      <c r="P27" s="93"/>
    </row>
    <row r="28" spans="1:16" ht="21.75" customHeight="1" x14ac:dyDescent="0.25">
      <c r="A28" s="78">
        <v>1</v>
      </c>
      <c r="B28" s="67" t="s">
        <v>22</v>
      </c>
      <c r="C28" s="50"/>
      <c r="D28" s="50">
        <v>232725</v>
      </c>
      <c r="E28" s="50">
        <f>+F28+G28+H28</f>
        <v>325224</v>
      </c>
      <c r="F28" s="50">
        <v>189339</v>
      </c>
      <c r="G28" s="50">
        <v>58526</v>
      </c>
      <c r="H28" s="50">
        <v>77359</v>
      </c>
      <c r="I28" s="78"/>
      <c r="J28" s="73">
        <f>E28/D28</f>
        <v>1.3974605220754108</v>
      </c>
      <c r="K28" s="75"/>
      <c r="L28" s="75"/>
      <c r="M28" s="76"/>
      <c r="N28" s="75"/>
      <c r="O28" s="75"/>
      <c r="P28" s="75"/>
    </row>
    <row r="29" spans="1:16" ht="25.5" customHeight="1" x14ac:dyDescent="0.25">
      <c r="A29" s="78">
        <v>2</v>
      </c>
      <c r="B29" s="67" t="s">
        <v>23</v>
      </c>
      <c r="C29" s="50"/>
      <c r="D29" s="50">
        <v>97571</v>
      </c>
      <c r="E29" s="50">
        <f t="shared" ref="E29:E40" si="4">+F29+G29+H29</f>
        <v>134297</v>
      </c>
      <c r="F29" s="50">
        <v>82716</v>
      </c>
      <c r="G29" s="50">
        <v>35451</v>
      </c>
      <c r="H29" s="50">
        <v>16130</v>
      </c>
      <c r="I29" s="78"/>
      <c r="J29" s="73">
        <f t="shared" ref="J29" si="5">E29/D29</f>
        <v>1.3764028246097713</v>
      </c>
      <c r="K29" s="74"/>
      <c r="L29" s="75"/>
      <c r="M29" s="76"/>
      <c r="N29" s="75"/>
      <c r="O29" s="75"/>
      <c r="P29" s="75"/>
    </row>
    <row r="30" spans="1:16" ht="24" customHeight="1" x14ac:dyDescent="0.25">
      <c r="A30" s="78">
        <v>3</v>
      </c>
      <c r="B30" s="67" t="s">
        <v>24</v>
      </c>
      <c r="C30" s="50">
        <v>4066438</v>
      </c>
      <c r="D30" s="50">
        <v>4608436</v>
      </c>
      <c r="E30" s="50">
        <f t="shared" si="4"/>
        <v>3876614</v>
      </c>
      <c r="F30" s="50">
        <v>1098776</v>
      </c>
      <c r="G30" s="50">
        <v>2745659</v>
      </c>
      <c r="H30" s="50">
        <v>32179</v>
      </c>
      <c r="I30" s="73">
        <f>E30/C30</f>
        <v>0.95331934238269467</v>
      </c>
      <c r="J30" s="73">
        <f>E30/D30</f>
        <v>0.84119948720129778</v>
      </c>
      <c r="K30" s="74"/>
      <c r="L30" s="75"/>
      <c r="M30" s="76"/>
      <c r="N30" s="75"/>
      <c r="O30" s="75"/>
      <c r="P30" s="75"/>
    </row>
    <row r="31" spans="1:16" ht="24.75" customHeight="1" x14ac:dyDescent="0.25">
      <c r="A31" s="78">
        <v>4</v>
      </c>
      <c r="B31" s="67" t="s">
        <v>25</v>
      </c>
      <c r="C31" s="50">
        <v>36368</v>
      </c>
      <c r="D31" s="50">
        <v>53108</v>
      </c>
      <c r="E31" s="50">
        <f t="shared" si="4"/>
        <v>52184</v>
      </c>
      <c r="F31" s="50">
        <v>49832</v>
      </c>
      <c r="G31" s="50">
        <v>2352</v>
      </c>
      <c r="H31" s="50">
        <v>0</v>
      </c>
      <c r="I31" s="73">
        <f>E31/C31</f>
        <v>1.4348878134623846</v>
      </c>
      <c r="J31" s="73">
        <f>E31/D31</f>
        <v>0.9826014913007457</v>
      </c>
      <c r="K31" s="74"/>
      <c r="L31" s="75"/>
      <c r="M31" s="76"/>
      <c r="N31" s="75"/>
      <c r="O31" s="75"/>
      <c r="P31" s="75"/>
    </row>
    <row r="32" spans="1:16" ht="24.75" customHeight="1" x14ac:dyDescent="0.25">
      <c r="A32" s="78">
        <v>5</v>
      </c>
      <c r="B32" s="67" t="s">
        <v>26</v>
      </c>
      <c r="C32" s="50"/>
      <c r="D32" s="50">
        <v>464153</v>
      </c>
      <c r="E32" s="50">
        <f t="shared" si="4"/>
        <v>422243</v>
      </c>
      <c r="F32" s="50">
        <v>117785</v>
      </c>
      <c r="G32" s="50">
        <v>278649</v>
      </c>
      <c r="H32" s="50">
        <v>25809</v>
      </c>
      <c r="I32" s="78"/>
      <c r="J32" s="73">
        <f t="shared" ref="J32:J35" si="6">E32/D32</f>
        <v>0.90970649764194134</v>
      </c>
      <c r="K32" s="74"/>
      <c r="L32" s="75"/>
      <c r="M32" s="76"/>
      <c r="N32" s="75"/>
      <c r="O32" s="75"/>
      <c r="P32" s="75"/>
    </row>
    <row r="33" spans="1:17" ht="24.75" customHeight="1" x14ac:dyDescent="0.25">
      <c r="A33" s="78">
        <v>6</v>
      </c>
      <c r="B33" s="67" t="s">
        <v>27</v>
      </c>
      <c r="C33" s="50"/>
      <c r="D33" s="50">
        <v>123907</v>
      </c>
      <c r="E33" s="50">
        <f t="shared" si="4"/>
        <v>122985</v>
      </c>
      <c r="F33" s="50">
        <v>48792</v>
      </c>
      <c r="G33" s="50">
        <v>52209</v>
      </c>
      <c r="H33" s="50">
        <v>21984</v>
      </c>
      <c r="I33" s="78"/>
      <c r="J33" s="73">
        <f t="shared" si="6"/>
        <v>0.99255893533053019</v>
      </c>
      <c r="K33" s="74"/>
      <c r="L33" s="75"/>
      <c r="M33" s="76"/>
      <c r="N33" s="75"/>
      <c r="O33" s="75"/>
      <c r="P33" s="75"/>
      <c r="Q33" s="27"/>
    </row>
    <row r="34" spans="1:17" ht="24.75" customHeight="1" x14ac:dyDescent="0.25">
      <c r="A34" s="78">
        <v>7</v>
      </c>
      <c r="B34" s="67" t="s">
        <v>28</v>
      </c>
      <c r="C34" s="50"/>
      <c r="D34" s="50">
        <v>45482</v>
      </c>
      <c r="E34" s="50">
        <f t="shared" si="4"/>
        <v>43778</v>
      </c>
      <c r="F34" s="50">
        <v>32793</v>
      </c>
      <c r="G34" s="50">
        <v>4734</v>
      </c>
      <c r="H34" s="50">
        <v>6251</v>
      </c>
      <c r="I34" s="78"/>
      <c r="J34" s="73">
        <f t="shared" si="6"/>
        <v>0.9625346290840332</v>
      </c>
      <c r="K34" s="74"/>
      <c r="L34" s="75"/>
      <c r="M34" s="76"/>
      <c r="N34" s="75"/>
      <c r="O34" s="75"/>
      <c r="P34" s="75"/>
    </row>
    <row r="35" spans="1:17" ht="26.25" customHeight="1" x14ac:dyDescent="0.25">
      <c r="A35" s="78">
        <v>8</v>
      </c>
      <c r="B35" s="67" t="s">
        <v>29</v>
      </c>
      <c r="C35" s="50"/>
      <c r="D35" s="50">
        <v>54000</v>
      </c>
      <c r="E35" s="50">
        <f t="shared" si="4"/>
        <v>53089</v>
      </c>
      <c r="F35" s="50">
        <v>46224</v>
      </c>
      <c r="G35" s="50">
        <v>1816</v>
      </c>
      <c r="H35" s="50">
        <v>5049</v>
      </c>
      <c r="I35" s="78"/>
      <c r="J35" s="73">
        <f t="shared" si="6"/>
        <v>0.98312962962962958</v>
      </c>
      <c r="K35" s="74"/>
      <c r="L35" s="75"/>
      <c r="M35" s="76"/>
      <c r="N35" s="75"/>
      <c r="O35" s="75"/>
      <c r="P35" s="75"/>
    </row>
    <row r="36" spans="1:17" ht="25.5" customHeight="1" x14ac:dyDescent="0.25">
      <c r="A36" s="78">
        <v>9</v>
      </c>
      <c r="B36" s="67" t="s">
        <v>30</v>
      </c>
      <c r="C36" s="50">
        <v>57816</v>
      </c>
      <c r="D36" s="50">
        <v>154530</v>
      </c>
      <c r="E36" s="50">
        <f t="shared" si="4"/>
        <v>150066</v>
      </c>
      <c r="F36" s="50">
        <v>38284</v>
      </c>
      <c r="G36" s="50">
        <v>81519</v>
      </c>
      <c r="H36" s="50">
        <v>30263</v>
      </c>
      <c r="I36" s="73">
        <f>E36/C36</f>
        <v>2.5955790784557906</v>
      </c>
      <c r="J36" s="73">
        <f>E36/D36</f>
        <v>0.97111240535818288</v>
      </c>
      <c r="K36" s="74"/>
      <c r="L36" s="75"/>
      <c r="M36" s="76"/>
      <c r="N36" s="75"/>
      <c r="O36" s="75"/>
      <c r="P36" s="75"/>
    </row>
    <row r="37" spans="1:17" ht="26.25" customHeight="1" x14ac:dyDescent="0.25">
      <c r="A37" s="78">
        <v>10</v>
      </c>
      <c r="B37" s="67" t="s">
        <v>31</v>
      </c>
      <c r="C37" s="50"/>
      <c r="D37" s="50">
        <v>1699029</v>
      </c>
      <c r="E37" s="50">
        <f t="shared" si="4"/>
        <v>1494269</v>
      </c>
      <c r="F37" s="50">
        <v>974385</v>
      </c>
      <c r="G37" s="50">
        <f>212796</f>
        <v>212796</v>
      </c>
      <c r="H37" s="50">
        <f>307088</f>
        <v>307088</v>
      </c>
      <c r="I37" s="78"/>
      <c r="J37" s="73">
        <f>E37/D37</f>
        <v>0.87948410533310495</v>
      </c>
      <c r="K37" s="75"/>
      <c r="L37" s="75"/>
      <c r="M37" s="76"/>
      <c r="N37" s="75"/>
      <c r="O37" s="75"/>
      <c r="P37" s="75"/>
    </row>
    <row r="38" spans="1:17" ht="33.75" customHeight="1" x14ac:dyDescent="0.25">
      <c r="A38" s="78">
        <v>11</v>
      </c>
      <c r="B38" s="67" t="s">
        <v>32</v>
      </c>
      <c r="C38" s="50"/>
      <c r="D38" s="50">
        <v>2376692</v>
      </c>
      <c r="E38" s="50">
        <f t="shared" si="4"/>
        <v>2626480</v>
      </c>
      <c r="F38" s="50">
        <v>524687</v>
      </c>
      <c r="G38" s="50">
        <v>624053</v>
      </c>
      <c r="H38" s="50">
        <v>1477740</v>
      </c>
      <c r="I38" s="78"/>
      <c r="J38" s="73">
        <f t="shared" ref="J38:J40" si="7">E38/D38</f>
        <v>1.1050990199823958</v>
      </c>
      <c r="K38" s="74"/>
      <c r="L38" s="75"/>
      <c r="M38" s="76"/>
      <c r="N38" s="75"/>
      <c r="O38" s="75"/>
      <c r="P38" s="75"/>
    </row>
    <row r="39" spans="1:17" ht="33.75" customHeight="1" x14ac:dyDescent="0.25">
      <c r="A39" s="78">
        <v>12</v>
      </c>
      <c r="B39" s="67" t="s">
        <v>33</v>
      </c>
      <c r="C39" s="50"/>
      <c r="D39" s="50">
        <v>1152407</v>
      </c>
      <c r="E39" s="50">
        <f t="shared" si="4"/>
        <v>1054353</v>
      </c>
      <c r="F39" s="50">
        <v>388418</v>
      </c>
      <c r="G39" s="50">
        <v>463535</v>
      </c>
      <c r="H39" s="50">
        <v>202400</v>
      </c>
      <c r="I39" s="78"/>
      <c r="J39" s="73">
        <f t="shared" si="7"/>
        <v>0.91491374141253912</v>
      </c>
      <c r="K39" s="74"/>
      <c r="L39" s="75"/>
      <c r="M39" s="76"/>
      <c r="N39" s="75"/>
      <c r="O39" s="75"/>
      <c r="P39" s="75"/>
    </row>
    <row r="40" spans="1:17" ht="33.75" customHeight="1" x14ac:dyDescent="0.25">
      <c r="A40" s="78">
        <v>13</v>
      </c>
      <c r="B40" s="49" t="s">
        <v>39</v>
      </c>
      <c r="C40" s="50"/>
      <c r="D40" s="50">
        <v>207134</v>
      </c>
      <c r="E40" s="50">
        <f t="shared" si="4"/>
        <v>194066</v>
      </c>
      <c r="F40" s="50">
        <v>147098</v>
      </c>
      <c r="G40" s="50">
        <f>12512+32230</f>
        <v>44742</v>
      </c>
      <c r="H40" s="50">
        <f>1315+911</f>
        <v>2226</v>
      </c>
      <c r="I40" s="78"/>
      <c r="J40" s="73">
        <f t="shared" si="7"/>
        <v>0.936910405824249</v>
      </c>
      <c r="K40" s="74"/>
      <c r="L40" s="75"/>
      <c r="M40" s="76"/>
      <c r="N40" s="75"/>
      <c r="O40" s="75"/>
      <c r="P40" s="75"/>
    </row>
    <row r="41" spans="1:17" s="32" customFormat="1" ht="33.75" customHeight="1" x14ac:dyDescent="0.2">
      <c r="A41" s="68" t="s">
        <v>40</v>
      </c>
      <c r="B41" s="77" t="s">
        <v>41</v>
      </c>
      <c r="C41" s="48">
        <v>6600</v>
      </c>
      <c r="D41" s="48">
        <v>5500</v>
      </c>
      <c r="E41" s="48">
        <f t="shared" ref="E41" si="8">SUM(F41,G41,H41)</f>
        <v>1266</v>
      </c>
      <c r="F41" s="48">
        <v>1266</v>
      </c>
      <c r="G41" s="48"/>
      <c r="H41" s="48"/>
      <c r="I41" s="68"/>
      <c r="J41" s="68"/>
      <c r="K41" s="94"/>
      <c r="L41" s="94"/>
      <c r="M41" s="95"/>
      <c r="N41" s="94"/>
      <c r="O41" s="94"/>
      <c r="P41" s="94"/>
    </row>
    <row r="42" spans="1:17" s="83" customFormat="1" ht="27.75" customHeight="1" x14ac:dyDescent="0.2">
      <c r="A42" s="23" t="s">
        <v>42</v>
      </c>
      <c r="B42" s="82" t="s">
        <v>43</v>
      </c>
      <c r="C42" s="51"/>
      <c r="D42" s="51">
        <v>400000</v>
      </c>
      <c r="E42" s="51">
        <f>SUM(F42,G42,H42)</f>
        <v>7259184</v>
      </c>
      <c r="F42" s="51">
        <v>5409929</v>
      </c>
      <c r="G42" s="51">
        <v>1385724</v>
      </c>
      <c r="H42" s="51">
        <v>463531</v>
      </c>
      <c r="I42" s="23"/>
      <c r="J42" s="23"/>
      <c r="K42" s="63"/>
      <c r="L42" s="64"/>
      <c r="M42" s="65"/>
      <c r="N42" s="64"/>
      <c r="O42" s="64"/>
      <c r="P42" s="64"/>
    </row>
    <row r="43" spans="1:17" s="32" customFormat="1" ht="27.75" customHeight="1" x14ac:dyDescent="0.2">
      <c r="A43" s="68" t="s">
        <v>42</v>
      </c>
      <c r="B43" s="96" t="s">
        <v>44</v>
      </c>
      <c r="C43" s="48"/>
      <c r="D43" s="48"/>
      <c r="E43" s="48">
        <f t="shared" si="3"/>
        <v>0</v>
      </c>
      <c r="F43" s="48">
        <v>0</v>
      </c>
      <c r="G43" s="48">
        <v>0</v>
      </c>
      <c r="H43" s="48">
        <v>0</v>
      </c>
      <c r="I43" s="68"/>
      <c r="J43" s="68"/>
      <c r="K43" s="97"/>
      <c r="L43" s="94"/>
      <c r="M43" s="95"/>
      <c r="N43" s="94"/>
      <c r="O43" s="94"/>
      <c r="P43" s="94"/>
    </row>
    <row r="44" spans="1:17" s="32" customFormat="1" ht="27.75" customHeight="1" x14ac:dyDescent="0.2">
      <c r="A44" s="68" t="s">
        <v>45</v>
      </c>
      <c r="B44" s="96" t="s">
        <v>46</v>
      </c>
      <c r="C44" s="48">
        <v>1340</v>
      </c>
      <c r="D44" s="48">
        <v>1340</v>
      </c>
      <c r="E44" s="48">
        <f t="shared" si="3"/>
        <v>1340</v>
      </c>
      <c r="F44" s="48">
        <v>1340</v>
      </c>
      <c r="G44" s="48">
        <v>0</v>
      </c>
      <c r="H44" s="48">
        <v>0</v>
      </c>
      <c r="I44" s="87">
        <v>1</v>
      </c>
      <c r="J44" s="98">
        <v>1</v>
      </c>
      <c r="K44" s="99"/>
      <c r="L44" s="94"/>
      <c r="M44" s="95"/>
      <c r="N44" s="94"/>
      <c r="O44" s="94"/>
      <c r="P44" s="94"/>
    </row>
    <row r="45" spans="1:17" s="32" customFormat="1" ht="27.75" customHeight="1" x14ac:dyDescent="0.2">
      <c r="A45" s="68" t="s">
        <v>47</v>
      </c>
      <c r="B45" s="77" t="s">
        <v>48</v>
      </c>
      <c r="C45" s="48">
        <v>241555</v>
      </c>
      <c r="D45" s="48">
        <v>285193</v>
      </c>
      <c r="E45" s="48"/>
      <c r="F45" s="48"/>
      <c r="G45" s="48"/>
      <c r="H45" s="48"/>
      <c r="I45" s="68"/>
      <c r="J45" s="68"/>
      <c r="K45" s="97"/>
      <c r="L45" s="94"/>
      <c r="M45" s="95"/>
      <c r="N45" s="94"/>
      <c r="O45" s="94"/>
      <c r="P45" s="94"/>
    </row>
    <row r="46" spans="1:17" s="83" customFormat="1" ht="33.75" customHeight="1" x14ac:dyDescent="0.2">
      <c r="A46" s="85" t="s">
        <v>14</v>
      </c>
      <c r="B46" s="82" t="s">
        <v>49</v>
      </c>
      <c r="C46" s="51"/>
      <c r="D46" s="51">
        <f>+D47+D48</f>
        <v>5745868</v>
      </c>
      <c r="E46" s="51">
        <f>+E47+E48</f>
        <v>10833409</v>
      </c>
      <c r="F46" s="51">
        <f t="shared" ref="F46:H46" si="9">+F47+F48</f>
        <v>7547221</v>
      </c>
      <c r="G46" s="51">
        <f t="shared" si="9"/>
        <v>3286188</v>
      </c>
      <c r="H46" s="51">
        <f t="shared" si="9"/>
        <v>0</v>
      </c>
      <c r="I46" s="85"/>
      <c r="J46" s="85"/>
      <c r="K46" s="63"/>
      <c r="L46" s="64"/>
      <c r="M46" s="65"/>
      <c r="N46" s="64"/>
      <c r="O46" s="64"/>
      <c r="P46" s="64"/>
    </row>
    <row r="47" spans="1:17" ht="27" customHeight="1" x14ac:dyDescent="0.25">
      <c r="A47" s="78">
        <v>1</v>
      </c>
      <c r="B47" s="49" t="s">
        <v>50</v>
      </c>
      <c r="C47" s="50"/>
      <c r="D47" s="50">
        <v>5745868</v>
      </c>
      <c r="E47" s="50">
        <f t="shared" si="3"/>
        <v>6513878</v>
      </c>
      <c r="F47" s="50">
        <v>5506558</v>
      </c>
      <c r="G47" s="50">
        <v>1007320</v>
      </c>
      <c r="H47" s="50">
        <v>0</v>
      </c>
      <c r="I47" s="73"/>
      <c r="J47" s="78"/>
      <c r="K47" s="79"/>
      <c r="L47" s="80"/>
      <c r="M47" s="81"/>
      <c r="N47" s="80"/>
      <c r="O47" s="80"/>
      <c r="P47" s="80"/>
    </row>
    <row r="48" spans="1:17" ht="27" customHeight="1" x14ac:dyDescent="0.25">
      <c r="A48" s="78">
        <v>2</v>
      </c>
      <c r="B48" s="49" t="s">
        <v>51</v>
      </c>
      <c r="C48" s="50"/>
      <c r="D48" s="50"/>
      <c r="E48" s="50">
        <f t="shared" si="3"/>
        <v>4319531</v>
      </c>
      <c r="F48" s="50">
        <v>2040663</v>
      </c>
      <c r="G48" s="50">
        <v>2278868</v>
      </c>
      <c r="H48" s="50">
        <v>0</v>
      </c>
      <c r="I48" s="73"/>
      <c r="J48" s="78"/>
      <c r="K48" s="79"/>
      <c r="L48" s="80"/>
      <c r="M48" s="81"/>
      <c r="N48" s="80"/>
      <c r="O48" s="80"/>
      <c r="P48" s="80"/>
    </row>
    <row r="49" spans="1:16" ht="27" customHeight="1" x14ac:dyDescent="0.25">
      <c r="A49" s="68" t="s">
        <v>212</v>
      </c>
      <c r="B49" s="49" t="s">
        <v>213</v>
      </c>
      <c r="C49" s="50"/>
      <c r="D49" s="50"/>
      <c r="E49" s="50">
        <f t="shared" si="3"/>
        <v>4319531</v>
      </c>
      <c r="F49" s="50">
        <v>2040663</v>
      </c>
      <c r="G49" s="50">
        <v>2278868</v>
      </c>
      <c r="H49" s="50">
        <v>0</v>
      </c>
      <c r="I49" s="78"/>
      <c r="J49" s="78"/>
      <c r="K49" s="79"/>
      <c r="L49" s="80"/>
      <c r="M49" s="81"/>
      <c r="N49" s="80"/>
      <c r="O49" s="80"/>
      <c r="P49" s="80"/>
    </row>
    <row r="50" spans="1:16" ht="27" customHeight="1" x14ac:dyDescent="0.25">
      <c r="A50" s="68" t="s">
        <v>212</v>
      </c>
      <c r="B50" s="49" t="s">
        <v>214</v>
      </c>
      <c r="C50" s="50"/>
      <c r="D50" s="50"/>
      <c r="E50" s="50">
        <f t="shared" si="3"/>
        <v>0</v>
      </c>
      <c r="F50" s="50">
        <v>0</v>
      </c>
      <c r="G50" s="50">
        <v>0</v>
      </c>
      <c r="H50" s="50">
        <v>0</v>
      </c>
      <c r="I50" s="78"/>
      <c r="J50" s="78"/>
      <c r="K50" s="79"/>
      <c r="L50" s="80"/>
      <c r="M50" s="81"/>
      <c r="N50" s="80"/>
      <c r="O50" s="80"/>
      <c r="P50" s="80"/>
    </row>
    <row r="51" spans="1:16" s="83" customFormat="1" ht="27" customHeight="1" x14ac:dyDescent="0.2">
      <c r="A51" s="85" t="s">
        <v>52</v>
      </c>
      <c r="B51" s="82" t="s">
        <v>53</v>
      </c>
      <c r="C51" s="51"/>
      <c r="D51" s="51"/>
      <c r="E51" s="51">
        <f t="shared" si="3"/>
        <v>7792</v>
      </c>
      <c r="F51" s="51">
        <v>0</v>
      </c>
      <c r="G51" s="51">
        <v>0</v>
      </c>
      <c r="H51" s="51">
        <v>7792</v>
      </c>
      <c r="I51" s="85"/>
      <c r="J51" s="85"/>
      <c r="K51" s="63"/>
      <c r="L51" s="64"/>
      <c r="M51" s="65"/>
      <c r="N51" s="64"/>
      <c r="O51" s="64"/>
      <c r="P51" s="64"/>
    </row>
    <row r="52" spans="1:16" s="83" customFormat="1" ht="27" customHeight="1" x14ac:dyDescent="0.2">
      <c r="A52" s="85" t="s">
        <v>54</v>
      </c>
      <c r="B52" s="82" t="s">
        <v>55</v>
      </c>
      <c r="C52" s="51"/>
      <c r="D52" s="51">
        <f>30500-5500</f>
        <v>25000</v>
      </c>
      <c r="E52" s="51">
        <f t="shared" si="3"/>
        <v>7859</v>
      </c>
      <c r="F52" s="51">
        <v>7859</v>
      </c>
      <c r="G52" s="51">
        <v>0</v>
      </c>
      <c r="H52" s="51">
        <v>0</v>
      </c>
      <c r="I52" s="30"/>
      <c r="J52" s="30">
        <f>E52/D52</f>
        <v>0.31435999999999997</v>
      </c>
      <c r="K52" s="63"/>
      <c r="L52" s="64"/>
      <c r="M52" s="65"/>
      <c r="N52" s="64"/>
      <c r="O52" s="64"/>
      <c r="P52" s="64"/>
    </row>
    <row r="53" spans="1:16" ht="27" customHeight="1" x14ac:dyDescent="0.25">
      <c r="A53" s="78">
        <v>1</v>
      </c>
      <c r="B53" s="49" t="s">
        <v>56</v>
      </c>
      <c r="C53" s="50"/>
      <c r="D53" s="50"/>
      <c r="E53" s="50">
        <f t="shared" si="3"/>
        <v>7859</v>
      </c>
      <c r="F53" s="50">
        <v>7859</v>
      </c>
      <c r="G53" s="50">
        <v>0</v>
      </c>
      <c r="H53" s="50">
        <v>0</v>
      </c>
      <c r="I53" s="78"/>
      <c r="J53" s="78"/>
      <c r="K53" s="79"/>
      <c r="L53" s="80"/>
      <c r="M53" s="81"/>
      <c r="N53" s="80"/>
      <c r="O53" s="80"/>
      <c r="P53" s="80"/>
    </row>
    <row r="54" spans="1:16" ht="33.75" customHeight="1" x14ac:dyDescent="0.25">
      <c r="A54" s="78"/>
      <c r="B54" s="49" t="s">
        <v>57</v>
      </c>
      <c r="C54" s="50"/>
      <c r="D54" s="50"/>
      <c r="E54" s="50">
        <f t="shared" si="3"/>
        <v>0</v>
      </c>
      <c r="F54" s="50">
        <v>0</v>
      </c>
      <c r="G54" s="50">
        <v>0</v>
      </c>
      <c r="H54" s="50">
        <v>0</v>
      </c>
      <c r="I54" s="78"/>
      <c r="J54" s="78"/>
      <c r="K54" s="79"/>
      <c r="L54" s="80"/>
      <c r="M54" s="81"/>
      <c r="N54" s="80"/>
      <c r="O54" s="80"/>
      <c r="P54" s="80"/>
    </row>
    <row r="55" spans="1:16" ht="33.75" customHeight="1" x14ac:dyDescent="0.25">
      <c r="A55" s="78">
        <v>2</v>
      </c>
      <c r="B55" s="49" t="s">
        <v>58</v>
      </c>
      <c r="C55" s="50"/>
      <c r="D55" s="50"/>
      <c r="E55" s="50">
        <f t="shared" si="3"/>
        <v>0</v>
      </c>
      <c r="F55" s="50">
        <v>0</v>
      </c>
      <c r="G55" s="50">
        <v>0</v>
      </c>
      <c r="H55" s="50">
        <v>0</v>
      </c>
      <c r="I55" s="78"/>
      <c r="J55" s="78"/>
      <c r="K55" s="79"/>
      <c r="L55" s="80"/>
      <c r="M55" s="81"/>
      <c r="N55" s="80"/>
      <c r="O55" s="80"/>
      <c r="P55" s="80"/>
    </row>
    <row r="58" spans="1:16" x14ac:dyDescent="0.25">
      <c r="F58" s="124" t="s">
        <v>179</v>
      </c>
      <c r="G58" s="124"/>
      <c r="H58" s="124"/>
      <c r="I58" s="124"/>
      <c r="J58" s="124"/>
    </row>
  </sheetData>
  <mergeCells count="9">
    <mergeCell ref="F58:J58"/>
    <mergeCell ref="I1:J1"/>
    <mergeCell ref="A2:J2"/>
    <mergeCell ref="A3:J3"/>
    <mergeCell ref="A5:A6"/>
    <mergeCell ref="B5:B6"/>
    <mergeCell ref="C5:D5"/>
    <mergeCell ref="E5:H5"/>
    <mergeCell ref="I5:J5"/>
  </mergeCells>
  <printOptions horizontalCentered="1"/>
  <pageMargins left="0.25" right="0.25" top="0.5" bottom="0.5" header="0.3" footer="0.25"/>
  <pageSetup paperSize="9" scale="98" fitToHeight="0" orientation="landscape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MB 60 cân đối</vt:lpstr>
      <vt:lpstr>MB 61 thu 2020</vt:lpstr>
      <vt:lpstr>MB 62 chi 2020</vt:lpstr>
      <vt:lpstr>'MB 60 cân đối'!Print_Area</vt:lpstr>
      <vt:lpstr>'MB 61 thu 2020'!Print_Area</vt:lpstr>
      <vt:lpstr>'MB 62 chi 2020'!Print_Area</vt:lpstr>
      <vt:lpstr>'MB 61 thu 2020'!Print_Titles</vt:lpstr>
      <vt:lpstr>'MB 62 chi 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thauydoan</dc:creator>
  <cp:lastModifiedBy>thanhsen</cp:lastModifiedBy>
  <cp:lastPrinted>2021-12-14T02:40:45Z</cp:lastPrinted>
  <dcterms:created xsi:type="dcterms:W3CDTF">2021-11-18T10:00:15Z</dcterms:created>
  <dcterms:modified xsi:type="dcterms:W3CDTF">2021-12-14T02:40:56Z</dcterms:modified>
</cp:coreProperties>
</file>