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35" windowWidth="14880" windowHeight="9105"/>
  </bookViews>
  <sheets>
    <sheet name="ChiNS2016" sheetId="11" r:id="rId1"/>
    <sheet name="Thu NSNN.PL01" sheetId="1" r:id="rId2"/>
    <sheet name="Chi tổng hợp PL02" sheetId="9" r:id="rId3"/>
    <sheet name="Chi NSNN.PL03" sheetId="2" r:id="rId4"/>
    <sheet name="PL04" sheetId="7" r:id="rId5"/>
    <sheet name="DT.PL05" sheetId="6" r:id="rId6"/>
    <sheet name="PL06 Thu HX" sheetId="10" r:id="rId7"/>
    <sheet name="PL07 HX hưởng" sheetId="5" r:id="rId8"/>
    <sheet name="PL08 Chi HX" sheetId="4" r:id="rId9"/>
    <sheet name="PL09 Đất" sheetId="3" r:id="rId10"/>
  </sheets>
  <externalReferences>
    <externalReference r:id="rId11"/>
    <externalReference r:id="rId12"/>
  </externalReferences>
  <definedNames>
    <definedName name="_xlnm._FilterDatabase" localSheetId="1" hidden="1">'Thu NSNN.PL01'!$A$1:$I$52</definedName>
    <definedName name="_xlnm.Print_Area" localSheetId="3">'Chi NSNN.PL03'!$A$1:$H$345</definedName>
    <definedName name="_xlnm.Print_Area" localSheetId="0">ChiNS2016!$A$1:$G$51</definedName>
    <definedName name="_xlnm.Print_Area" localSheetId="7">'PL07 HX hưởng'!$A$1:$L$35</definedName>
    <definedName name="_xlnm.Print_Area" localSheetId="8">'PL08 Chi HX'!$A$1:$L$25</definedName>
    <definedName name="_xlnm.Print_Area" localSheetId="9">'PL09 Đất'!$A$1:$K$23</definedName>
    <definedName name="_xlnm.Print_Area" localSheetId="1">'Thu NSNN.PL01'!$A$1:$I$54</definedName>
    <definedName name="_xlnm.Print_Titles" localSheetId="3">'Chi NSNN.PL03'!$6:$7</definedName>
    <definedName name="_xlnm.Print_Titles" localSheetId="2">'Chi tổng hợp PL02'!$6:$8</definedName>
    <definedName name="_xlnm.Print_Titles" localSheetId="0">ChiNS2016!$4:$5</definedName>
    <definedName name="_xlnm.Print_Titles" localSheetId="5">DT.PL05!$5:$7</definedName>
    <definedName name="_xlnm.Print_Titles" localSheetId="4">'PL04'!$5:$7</definedName>
    <definedName name="_xlnm.Print_Titles" localSheetId="8">'PL08 Chi HX'!$5:$8</definedName>
    <definedName name="_xlnm.Print_Titles" localSheetId="1">'Thu NSNN.PL01'!$5:$8</definedName>
  </definedNames>
  <calcPr calcId="144525"/>
</workbook>
</file>

<file path=xl/calcChain.xml><?xml version="1.0" encoding="utf-8"?>
<calcChain xmlns="http://schemas.openxmlformats.org/spreadsheetml/2006/main">
  <c r="F49" i="2" l="1"/>
  <c r="C7" i="6"/>
  <c r="D7" i="6"/>
  <c r="E7" i="6"/>
  <c r="F7" i="6"/>
  <c r="G7" i="6"/>
  <c r="H7" i="6"/>
  <c r="I7" i="6"/>
  <c r="J7" i="6"/>
  <c r="K7" i="6"/>
  <c r="L7" i="6"/>
  <c r="M7" i="6"/>
  <c r="N9" i="6"/>
  <c r="N86" i="6" l="1"/>
  <c r="N85" i="6"/>
  <c r="N84" i="6"/>
  <c r="N83" i="6"/>
  <c r="N82" i="6"/>
  <c r="N81" i="6"/>
  <c r="N80" i="6"/>
  <c r="N75" i="6"/>
  <c r="N74" i="6"/>
  <c r="N73" i="6"/>
  <c r="N72" i="6"/>
  <c r="N71" i="6"/>
  <c r="N70" i="6"/>
  <c r="N69" i="6"/>
  <c r="N68" i="6"/>
  <c r="N67" i="6"/>
  <c r="N66" i="6"/>
  <c r="N65" i="6"/>
  <c r="N64" i="6"/>
  <c r="N63" i="6"/>
  <c r="N62" i="6"/>
  <c r="N61" i="6"/>
  <c r="N60" i="6"/>
  <c r="N59" i="6"/>
  <c r="N58" i="6"/>
  <c r="N57" i="6"/>
  <c r="N56" i="6"/>
  <c r="N55" i="6"/>
  <c r="N54" i="6"/>
  <c r="N53" i="6"/>
  <c r="N52" i="6"/>
  <c r="N51" i="6"/>
  <c r="N50" i="6"/>
  <c r="N49" i="6"/>
  <c r="N48" i="6"/>
  <c r="N47" i="6"/>
  <c r="N46" i="6"/>
  <c r="N45" i="6"/>
  <c r="N44" i="6"/>
  <c r="N43" i="6"/>
  <c r="N42" i="6"/>
  <c r="N41" i="6"/>
  <c r="N40" i="6"/>
  <c r="N39" i="6"/>
  <c r="N38" i="6"/>
  <c r="N37" i="6"/>
  <c r="N34" i="6"/>
  <c r="N31" i="6"/>
  <c r="N28" i="6"/>
  <c r="N25" i="6"/>
  <c r="N24" i="6"/>
  <c r="N23" i="6"/>
  <c r="N20" i="6"/>
  <c r="N19" i="6"/>
  <c r="N15" i="6"/>
  <c r="N14" i="6"/>
  <c r="N13" i="6"/>
  <c r="N12" i="6"/>
  <c r="N11" i="6"/>
  <c r="K164" i="7"/>
  <c r="D50" i="11" l="1"/>
  <c r="G37" i="11"/>
  <c r="G38" i="11"/>
  <c r="G39" i="11"/>
  <c r="G40" i="11"/>
  <c r="G41" i="11"/>
  <c r="G42" i="11"/>
  <c r="G43" i="11"/>
  <c r="G44" i="11"/>
  <c r="G45" i="11"/>
  <c r="G46" i="11"/>
  <c r="G47" i="11"/>
  <c r="G48" i="11"/>
  <c r="G49" i="11"/>
  <c r="G50" i="11"/>
  <c r="G36" i="11"/>
  <c r="G14" i="11"/>
  <c r="G15" i="11"/>
  <c r="G16" i="11"/>
  <c r="G17" i="11"/>
  <c r="G18" i="11"/>
  <c r="G19" i="11"/>
  <c r="G20" i="11"/>
  <c r="G21" i="11"/>
  <c r="G22" i="11"/>
  <c r="G23" i="11"/>
  <c r="G24" i="11"/>
  <c r="G25" i="11"/>
  <c r="G26" i="11"/>
  <c r="G27" i="11"/>
  <c r="G28" i="11"/>
  <c r="G29" i="11"/>
  <c r="G30" i="11"/>
  <c r="G31" i="11"/>
  <c r="G32" i="11"/>
  <c r="G33" i="11"/>
  <c r="G34" i="11"/>
  <c r="G35" i="11"/>
  <c r="G13" i="11"/>
  <c r="E11" i="11"/>
  <c r="E6" i="11" s="1"/>
  <c r="D39" i="1" l="1"/>
  <c r="E39" i="1"/>
  <c r="F39" i="1"/>
  <c r="F49" i="11" l="1"/>
  <c r="F48" i="11"/>
  <c r="F47" i="11"/>
  <c r="F46" i="11"/>
  <c r="F45" i="11"/>
  <c r="F44" i="11"/>
  <c r="F42" i="11"/>
  <c r="F41" i="11"/>
  <c r="F40"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D11" i="11"/>
  <c r="C11" i="11"/>
  <c r="G11" i="11" s="1"/>
  <c r="F10" i="11"/>
  <c r="F9" i="11"/>
  <c r="F8" i="11"/>
  <c r="D7" i="11"/>
  <c r="F7" i="11" s="1"/>
  <c r="C7" i="11"/>
  <c r="G7" i="11" s="1"/>
  <c r="F11" i="11" l="1"/>
  <c r="F50" i="11"/>
  <c r="C6" i="11"/>
  <c r="G6" i="11" s="1"/>
  <c r="D6" i="11"/>
  <c r="C41" i="1"/>
  <c r="B41" i="1"/>
  <c r="F6" i="11" l="1"/>
  <c r="D18" i="9" l="1"/>
  <c r="E46" i="9"/>
  <c r="E331" i="2"/>
  <c r="F331" i="2" s="1"/>
  <c r="F342" i="2"/>
  <c r="F57" i="9" s="1"/>
  <c r="G15" i="9"/>
  <c r="F15" i="9"/>
  <c r="F14" i="9"/>
  <c r="E14" i="9" s="1"/>
  <c r="E15" i="9" l="1"/>
  <c r="H19" i="5"/>
  <c r="F21" i="4"/>
  <c r="F151" i="2"/>
  <c r="G152" i="2"/>
  <c r="F78" i="2"/>
  <c r="G47" i="2" l="1"/>
  <c r="F13" i="2"/>
  <c r="O19" i="10" l="1"/>
  <c r="N19" i="10"/>
  <c r="M19" i="10"/>
  <c r="L19" i="10"/>
  <c r="K19" i="10"/>
  <c r="J19" i="10"/>
  <c r="I19" i="10"/>
  <c r="H19" i="10"/>
  <c r="G19" i="10"/>
  <c r="F19" i="10"/>
  <c r="E19" i="10"/>
  <c r="D19" i="10"/>
  <c r="C18" i="10"/>
  <c r="C17" i="10"/>
  <c r="C16" i="10"/>
  <c r="C15" i="10"/>
  <c r="C14" i="10"/>
  <c r="C13" i="10"/>
  <c r="C12" i="10"/>
  <c r="C11" i="10"/>
  <c r="C10" i="10"/>
  <c r="C9" i="10"/>
  <c r="C8" i="10"/>
  <c r="C7" i="10"/>
  <c r="A7" i="10"/>
  <c r="A8" i="10" s="1"/>
  <c r="A9" i="10" s="1"/>
  <c r="A10" i="10" s="1"/>
  <c r="A11" i="10" s="1"/>
  <c r="A12" i="10" s="1"/>
  <c r="A13" i="10" s="1"/>
  <c r="A14" i="10" s="1"/>
  <c r="A15" i="10" s="1"/>
  <c r="A16" i="10" s="1"/>
  <c r="A17" i="10" s="1"/>
  <c r="A18" i="10" s="1"/>
  <c r="C6" i="10"/>
  <c r="C19" i="10" l="1"/>
  <c r="N164" i="7" l="1"/>
  <c r="F73" i="2"/>
  <c r="H175" i="2" l="1"/>
  <c r="G175" i="2"/>
  <c r="G170" i="2"/>
  <c r="G194" i="2"/>
  <c r="F93" i="2"/>
  <c r="D14" i="4" l="1"/>
  <c r="K22" i="4"/>
  <c r="J22" i="4"/>
  <c r="G22" i="4"/>
  <c r="H21" i="4"/>
  <c r="H20" i="4"/>
  <c r="H19" i="4"/>
  <c r="H18" i="4"/>
  <c r="H17" i="4"/>
  <c r="H16" i="4"/>
  <c r="H15" i="4"/>
  <c r="H14" i="4"/>
  <c r="H13" i="4"/>
  <c r="H12" i="4"/>
  <c r="H11" i="4"/>
  <c r="H10" i="4"/>
  <c r="A10" i="4"/>
  <c r="A11" i="4" s="1"/>
  <c r="A12" i="4" s="1"/>
  <c r="A13" i="4" s="1"/>
  <c r="A14" i="4" s="1"/>
  <c r="A15" i="4" s="1"/>
  <c r="A16" i="4" s="1"/>
  <c r="A17" i="4" s="1"/>
  <c r="A18" i="4" s="1"/>
  <c r="A19" i="4" s="1"/>
  <c r="A20" i="4" s="1"/>
  <c r="A21" i="4" s="1"/>
  <c r="H9" i="4"/>
  <c r="A8" i="5"/>
  <c r="A9" i="5" s="1"/>
  <c r="A10" i="5" s="1"/>
  <c r="A11" i="5" s="1"/>
  <c r="A12" i="5" s="1"/>
  <c r="A13" i="5" s="1"/>
  <c r="A14" i="5" s="1"/>
  <c r="A15" i="5" s="1"/>
  <c r="A16" i="5" s="1"/>
  <c r="A17" i="5" s="1"/>
  <c r="A18" i="5" s="1"/>
  <c r="A19" i="5" s="1"/>
  <c r="F20" i="5"/>
  <c r="C20" i="5"/>
  <c r="D19" i="4" l="1"/>
  <c r="C19" i="4" s="1"/>
  <c r="D12" i="4"/>
  <c r="C12" i="4" s="1"/>
  <c r="D13" i="4"/>
  <c r="D10" i="4"/>
  <c r="C10" i="4" s="1"/>
  <c r="D11" i="4"/>
  <c r="C11" i="4" s="1"/>
  <c r="D18" i="4"/>
  <c r="D16" i="4"/>
  <c r="C16" i="4" s="1"/>
  <c r="D17" i="4"/>
  <c r="C17" i="4" s="1"/>
  <c r="D15" i="4"/>
  <c r="C15" i="4" s="1"/>
  <c r="H22" i="4"/>
  <c r="C13" i="4"/>
  <c r="D20" i="4"/>
  <c r="C20" i="4" s="1"/>
  <c r="C14" i="4"/>
  <c r="C18" i="4"/>
  <c r="D21" i="4"/>
  <c r="C21" i="4" s="1"/>
  <c r="E22" i="4"/>
  <c r="F22" i="4"/>
  <c r="I22" i="4"/>
  <c r="I20" i="5"/>
  <c r="L9" i="5"/>
  <c r="L10" i="5"/>
  <c r="L12" i="5"/>
  <c r="L13" i="5"/>
  <c r="L14" i="5"/>
  <c r="L15" i="5"/>
  <c r="L16" i="5"/>
  <c r="L17" i="5"/>
  <c r="K16" i="5"/>
  <c r="G16" i="5"/>
  <c r="K10" i="5"/>
  <c r="G10" i="5"/>
  <c r="G18" i="5"/>
  <c r="K18" i="5"/>
  <c r="K14" i="5"/>
  <c r="G14" i="5"/>
  <c r="K8" i="5"/>
  <c r="G8" i="5"/>
  <c r="G12" i="5"/>
  <c r="K12" i="5"/>
  <c r="D8" i="5"/>
  <c r="L8" i="5"/>
  <c r="D10" i="5"/>
  <c r="D12" i="5"/>
  <c r="D14" i="5"/>
  <c r="D16" i="5"/>
  <c r="D18" i="5"/>
  <c r="L18" i="5"/>
  <c r="E20" i="5"/>
  <c r="D7" i="5"/>
  <c r="K7" i="5"/>
  <c r="L7" i="5"/>
  <c r="D9" i="5"/>
  <c r="G9" i="5"/>
  <c r="D11" i="5"/>
  <c r="G11" i="5"/>
  <c r="L11" i="5"/>
  <c r="D13" i="5"/>
  <c r="G13" i="5"/>
  <c r="D15" i="5"/>
  <c r="G15" i="5"/>
  <c r="D17" i="5"/>
  <c r="G17" i="5"/>
  <c r="D19" i="5"/>
  <c r="G19" i="5"/>
  <c r="L19" i="5"/>
  <c r="J16" i="5" l="1"/>
  <c r="J10" i="5"/>
  <c r="J14" i="5"/>
  <c r="J12" i="5"/>
  <c r="D9" i="4"/>
  <c r="K13" i="5"/>
  <c r="J13" i="5" s="1"/>
  <c r="K15" i="5"/>
  <c r="J15" i="5" s="1"/>
  <c r="J7" i="5"/>
  <c r="D20" i="5"/>
  <c r="G40" i="1" s="1"/>
  <c r="G7" i="5"/>
  <c r="G20" i="5" s="1"/>
  <c r="H20" i="5"/>
  <c r="J8" i="5"/>
  <c r="K9" i="5"/>
  <c r="J9" i="5" s="1"/>
  <c r="K17" i="5"/>
  <c r="J17" i="5" s="1"/>
  <c r="K11" i="5"/>
  <c r="J11" i="5" s="1"/>
  <c r="L20" i="5"/>
  <c r="K19" i="5"/>
  <c r="J19" i="5" s="1"/>
  <c r="J18" i="5"/>
  <c r="C9" i="4" l="1"/>
  <c r="C22" i="4" s="1"/>
  <c r="D22" i="4"/>
  <c r="K20" i="5"/>
  <c r="J20" i="5"/>
  <c r="F91" i="2" l="1"/>
  <c r="G84" i="2" l="1"/>
  <c r="F105" i="2" l="1"/>
  <c r="C14" i="3" l="1"/>
  <c r="C13" i="3"/>
  <c r="C12" i="3"/>
  <c r="C11" i="3"/>
  <c r="C10" i="3"/>
  <c r="C9" i="3"/>
  <c r="C8" i="3"/>
  <c r="C7" i="3"/>
  <c r="C6" i="3"/>
  <c r="O34" i="6"/>
  <c r="O31" i="6"/>
  <c r="O28" i="6"/>
  <c r="O23" i="6"/>
  <c r="O18" i="6"/>
  <c r="O13" i="6"/>
  <c r="G181" i="7"/>
  <c r="L181" i="7" s="1"/>
  <c r="G180" i="7"/>
  <c r="L180" i="7" s="1"/>
  <c r="G179" i="7"/>
  <c r="L179" i="7" s="1"/>
  <c r="G178" i="7"/>
  <c r="L178" i="7" s="1"/>
  <c r="G177" i="7"/>
  <c r="L177" i="7" s="1"/>
  <c r="G176" i="7"/>
  <c r="L176" i="7" s="1"/>
  <c r="G175" i="7"/>
  <c r="L175" i="7" s="1"/>
  <c r="G174" i="7"/>
  <c r="L174" i="7" s="1"/>
  <c r="G173" i="7"/>
  <c r="L173" i="7" s="1"/>
  <c r="G172" i="7"/>
  <c r="L172" i="7" s="1"/>
  <c r="G171" i="7"/>
  <c r="L171" i="7" s="1"/>
  <c r="G170" i="7"/>
  <c r="L170" i="7" s="1"/>
  <c r="G169" i="7"/>
  <c r="L169" i="7" s="1"/>
  <c r="L168" i="7"/>
  <c r="G168" i="7"/>
  <c r="G167" i="7"/>
  <c r="L167" i="7" s="1"/>
  <c r="G166" i="7"/>
  <c r="L166" i="7" s="1"/>
  <c r="G165" i="7"/>
  <c r="L165" i="7" s="1"/>
  <c r="M164" i="7"/>
  <c r="J164" i="7"/>
  <c r="I164" i="7"/>
  <c r="H164" i="7"/>
  <c r="F164" i="7"/>
  <c r="E164" i="7"/>
  <c r="D164" i="7"/>
  <c r="C164" i="7"/>
  <c r="G163" i="7"/>
  <c r="L163" i="7" s="1"/>
  <c r="G162" i="7"/>
  <c r="L162" i="7" s="1"/>
  <c r="G161" i="7"/>
  <c r="L161" i="7" s="1"/>
  <c r="G160" i="7"/>
  <c r="L160" i="7" s="1"/>
  <c r="L159" i="7"/>
  <c r="G158" i="7"/>
  <c r="L158" i="7" s="1"/>
  <c r="G157" i="7"/>
  <c r="L157" i="7" s="1"/>
  <c r="N156" i="7"/>
  <c r="N141" i="7" s="1"/>
  <c r="M156" i="7"/>
  <c r="M141" i="7" s="1"/>
  <c r="K156" i="7"/>
  <c r="J156" i="7"/>
  <c r="J141" i="7" s="1"/>
  <c r="I156" i="7"/>
  <c r="I141" i="7" s="1"/>
  <c r="H156" i="7"/>
  <c r="H141" i="7" s="1"/>
  <c r="F156" i="7"/>
  <c r="E156" i="7"/>
  <c r="E141" i="7" s="1"/>
  <c r="D156" i="7"/>
  <c r="D141" i="7" s="1"/>
  <c r="C156" i="7"/>
  <c r="C141" i="7" s="1"/>
  <c r="G155" i="7"/>
  <c r="L155" i="7" s="1"/>
  <c r="G154" i="7"/>
  <c r="L154" i="7" s="1"/>
  <c r="G153" i="7"/>
  <c r="L153" i="7" s="1"/>
  <c r="G152" i="7"/>
  <c r="L152" i="7" s="1"/>
  <c r="L151" i="7"/>
  <c r="G150" i="7"/>
  <c r="L150" i="7" s="1"/>
  <c r="G149" i="7"/>
  <c r="L149" i="7" s="1"/>
  <c r="G148" i="7"/>
  <c r="L148" i="7" s="1"/>
  <c r="F147" i="7"/>
  <c r="G147" i="7" s="1"/>
  <c r="L147" i="7" s="1"/>
  <c r="F146" i="7"/>
  <c r="G146" i="7" s="1"/>
  <c r="L146" i="7" s="1"/>
  <c r="F145" i="7"/>
  <c r="G145" i="7" s="1"/>
  <c r="L145" i="7" s="1"/>
  <c r="F144" i="7"/>
  <c r="G144" i="7" s="1"/>
  <c r="L144" i="7" s="1"/>
  <c r="K143" i="7"/>
  <c r="F143" i="7"/>
  <c r="G143" i="7" s="1"/>
  <c r="K142" i="7"/>
  <c r="F142" i="7"/>
  <c r="G142" i="7" s="1"/>
  <c r="G140" i="7"/>
  <c r="L140" i="7" s="1"/>
  <c r="G138" i="7"/>
  <c r="L138" i="7" s="1"/>
  <c r="G137" i="7"/>
  <c r="L137" i="7" s="1"/>
  <c r="G136" i="7"/>
  <c r="L136" i="7" s="1"/>
  <c r="G135" i="7"/>
  <c r="L135" i="7" s="1"/>
  <c r="G134" i="7"/>
  <c r="L134" i="7" s="1"/>
  <c r="G133" i="7"/>
  <c r="L133" i="7" s="1"/>
  <c r="G132" i="7"/>
  <c r="L132" i="7" s="1"/>
  <c r="G131" i="7"/>
  <c r="L131" i="7" s="1"/>
  <c r="G130" i="7"/>
  <c r="L130" i="7" s="1"/>
  <c r="G129" i="7"/>
  <c r="L129" i="7" s="1"/>
  <c r="G128" i="7"/>
  <c r="L128" i="7" s="1"/>
  <c r="G127" i="7"/>
  <c r="L127" i="7" s="1"/>
  <c r="G126" i="7"/>
  <c r="L126" i="7" s="1"/>
  <c r="F125" i="7"/>
  <c r="G125" i="7" s="1"/>
  <c r="F124" i="7"/>
  <c r="G124" i="7" s="1"/>
  <c r="F123" i="7"/>
  <c r="G123" i="7" s="1"/>
  <c r="F122" i="7"/>
  <c r="G122" i="7" s="1"/>
  <c r="F121" i="7"/>
  <c r="G121" i="7" s="1"/>
  <c r="F120" i="7"/>
  <c r="G120" i="7" s="1"/>
  <c r="F119" i="7"/>
  <c r="G119" i="7" s="1"/>
  <c r="F118" i="7"/>
  <c r="G118" i="7" s="1"/>
  <c r="F117" i="7"/>
  <c r="G117" i="7" s="1"/>
  <c r="F116" i="7"/>
  <c r="G116" i="7" s="1"/>
  <c r="F115" i="7"/>
  <c r="G115" i="7" s="1"/>
  <c r="F114" i="7"/>
  <c r="G114" i="7" s="1"/>
  <c r="F113" i="7"/>
  <c r="G113" i="7" s="1"/>
  <c r="F112" i="7"/>
  <c r="F111" i="7"/>
  <c r="G111" i="7" s="1"/>
  <c r="N110" i="7"/>
  <c r="M110" i="7"/>
  <c r="K110" i="7"/>
  <c r="J110" i="7"/>
  <c r="I110" i="7"/>
  <c r="H110" i="7"/>
  <c r="E110" i="7"/>
  <c r="D110" i="7"/>
  <c r="C110" i="7"/>
  <c r="G109" i="7"/>
  <c r="L109" i="7" s="1"/>
  <c r="L108" i="7"/>
  <c r="G107" i="7"/>
  <c r="L107" i="7" s="1"/>
  <c r="F106" i="7"/>
  <c r="G106" i="7" s="1"/>
  <c r="F105" i="7"/>
  <c r="G105" i="7" s="1"/>
  <c r="F104" i="7"/>
  <c r="G104" i="7" s="1"/>
  <c r="F103" i="7"/>
  <c r="G103" i="7" s="1"/>
  <c r="F102" i="7"/>
  <c r="G102" i="7" s="1"/>
  <c r="N101" i="7"/>
  <c r="M101" i="7"/>
  <c r="K101" i="7"/>
  <c r="J101" i="7"/>
  <c r="I101" i="7"/>
  <c r="H101" i="7"/>
  <c r="E101" i="7"/>
  <c r="D101" i="7"/>
  <c r="C101" i="7"/>
  <c r="G100" i="7"/>
  <c r="L100" i="7" s="1"/>
  <c r="L99" i="7"/>
  <c r="L98" i="7"/>
  <c r="G97" i="7"/>
  <c r="L97" i="7" s="1"/>
  <c r="G96" i="7"/>
  <c r="L96" i="7" s="1"/>
  <c r="G95" i="7"/>
  <c r="L95" i="7" s="1"/>
  <c r="G94" i="7"/>
  <c r="L94" i="7" s="1"/>
  <c r="G93" i="7"/>
  <c r="L93" i="7" s="1"/>
  <c r="G92" i="7"/>
  <c r="L92" i="7" s="1"/>
  <c r="G91" i="7"/>
  <c r="L91" i="7" s="1"/>
  <c r="F90" i="7"/>
  <c r="F89" i="7"/>
  <c r="F88" i="7"/>
  <c r="F87" i="7"/>
  <c r="F86" i="7"/>
  <c r="F85" i="7"/>
  <c r="F84" i="7"/>
  <c r="F83" i="7"/>
  <c r="F82" i="7"/>
  <c r="F81" i="7"/>
  <c r="F80" i="7"/>
  <c r="F79" i="7"/>
  <c r="F78" i="7"/>
  <c r="F77" i="7"/>
  <c r="F76" i="7"/>
  <c r="F75" i="7"/>
  <c r="F74" i="7"/>
  <c r="F73" i="7"/>
  <c r="F72" i="7"/>
  <c r="F71" i="7"/>
  <c r="F70" i="7"/>
  <c r="F69" i="7"/>
  <c r="F68" i="7"/>
  <c r="F67" i="7"/>
  <c r="F66" i="7"/>
  <c r="F65" i="7"/>
  <c r="F64" i="7"/>
  <c r="F63" i="7"/>
  <c r="F62" i="7" s="1"/>
  <c r="N62" i="7"/>
  <c r="M62" i="7"/>
  <c r="K62" i="7"/>
  <c r="J62" i="7"/>
  <c r="I62" i="7"/>
  <c r="H62" i="7"/>
  <c r="E62" i="7"/>
  <c r="D62" i="7"/>
  <c r="C62" i="7"/>
  <c r="G61" i="7"/>
  <c r="L61" i="7" s="1"/>
  <c r="G60" i="7"/>
  <c r="L60" i="7" s="1"/>
  <c r="G59" i="7"/>
  <c r="L59" i="7" s="1"/>
  <c r="N58" i="7"/>
  <c r="M58" i="7"/>
  <c r="M36" i="7" s="1"/>
  <c r="K58" i="7"/>
  <c r="K36" i="7" s="1"/>
  <c r="I58" i="7"/>
  <c r="I36" i="7" s="1"/>
  <c r="H58" i="7"/>
  <c r="H36" i="7" s="1"/>
  <c r="F58" i="7"/>
  <c r="G58" i="7" s="1"/>
  <c r="E58" i="7"/>
  <c r="E36" i="7" s="1"/>
  <c r="D58" i="7"/>
  <c r="D36" i="7" s="1"/>
  <c r="D7" i="7" s="1"/>
  <c r="C58" i="7"/>
  <c r="C36" i="7" s="1"/>
  <c r="L57" i="7"/>
  <c r="F56" i="7"/>
  <c r="G56" i="7" s="1"/>
  <c r="L56" i="7" s="1"/>
  <c r="G55" i="7"/>
  <c r="L55" i="7" s="1"/>
  <c r="F54" i="7"/>
  <c r="G54" i="7" s="1"/>
  <c r="F53" i="7"/>
  <c r="G53" i="7" s="1"/>
  <c r="F52" i="7"/>
  <c r="G52" i="7" s="1"/>
  <c r="F51" i="7"/>
  <c r="G51" i="7" s="1"/>
  <c r="F50" i="7"/>
  <c r="G50" i="7" s="1"/>
  <c r="F49" i="7"/>
  <c r="G49" i="7" s="1"/>
  <c r="F48" i="7"/>
  <c r="G48" i="7" s="1"/>
  <c r="F47" i="7"/>
  <c r="G47" i="7" s="1"/>
  <c r="F46" i="7"/>
  <c r="G46" i="7" s="1"/>
  <c r="G45" i="7"/>
  <c r="L45" i="7" s="1"/>
  <c r="F44" i="7"/>
  <c r="G44" i="7" s="1"/>
  <c r="F43" i="7"/>
  <c r="G43" i="7" s="1"/>
  <c r="F42" i="7"/>
  <c r="G42" i="7" s="1"/>
  <c r="F41" i="7"/>
  <c r="G41" i="7" s="1"/>
  <c r="F40" i="7"/>
  <c r="G40" i="7" s="1"/>
  <c r="F39" i="7"/>
  <c r="G39" i="7" s="1"/>
  <c r="G38" i="7"/>
  <c r="L38" i="7" s="1"/>
  <c r="F37" i="7"/>
  <c r="N36" i="7"/>
  <c r="J36" i="7"/>
  <c r="L35" i="7"/>
  <c r="G35" i="7"/>
  <c r="G34" i="7"/>
  <c r="L34" i="7" s="1"/>
  <c r="F33" i="7"/>
  <c r="G33" i="7" s="1"/>
  <c r="F32" i="7"/>
  <c r="G32" i="7" s="1"/>
  <c r="F31" i="7"/>
  <c r="G31" i="7" s="1"/>
  <c r="F30" i="7"/>
  <c r="G30" i="7" s="1"/>
  <c r="G29" i="7"/>
  <c r="L29" i="7" s="1"/>
  <c r="F28" i="7"/>
  <c r="F27" i="7"/>
  <c r="F26" i="7"/>
  <c r="F25" i="7"/>
  <c r="F24" i="7"/>
  <c r="F23" i="7"/>
  <c r="F22" i="7"/>
  <c r="F21" i="7"/>
  <c r="F20" i="7"/>
  <c r="F19" i="7"/>
  <c r="G19" i="7" s="1"/>
  <c r="F18" i="7"/>
  <c r="F17" i="7"/>
  <c r="F16" i="7"/>
  <c r="L15" i="7"/>
  <c r="F14" i="7"/>
  <c r="G14" i="7" s="1"/>
  <c r="L14" i="7" s="1"/>
  <c r="G13" i="7"/>
  <c r="L13" i="7" s="1"/>
  <c r="F12" i="7"/>
  <c r="G12" i="7" s="1"/>
  <c r="F11" i="7"/>
  <c r="G11" i="7" s="1"/>
  <c r="F10" i="7"/>
  <c r="G10" i="7" s="1"/>
  <c r="F9" i="7"/>
  <c r="G9" i="7" s="1"/>
  <c r="N8" i="7"/>
  <c r="M8" i="7"/>
  <c r="K8" i="7"/>
  <c r="J8" i="7"/>
  <c r="I8" i="7"/>
  <c r="H8" i="7"/>
  <c r="E8" i="7"/>
  <c r="D8" i="7"/>
  <c r="C8" i="7"/>
  <c r="O7" i="6" l="1"/>
  <c r="N10" i="6"/>
  <c r="N7" i="7"/>
  <c r="J7" i="7"/>
  <c r="J6" i="7" s="1"/>
  <c r="C7" i="7"/>
  <c r="F110" i="7"/>
  <c r="M7" i="7"/>
  <c r="M6" i="7" s="1"/>
  <c r="G112" i="7"/>
  <c r="L112" i="7" s="1"/>
  <c r="E7" i="7"/>
  <c r="L143" i="7"/>
  <c r="I7" i="7"/>
  <c r="I6" i="7" s="1"/>
  <c r="K7" i="7"/>
  <c r="G156" i="7"/>
  <c r="H7" i="7"/>
  <c r="H6" i="7" s="1"/>
  <c r="G101" i="7"/>
  <c r="G110" i="7"/>
  <c r="E6" i="7"/>
  <c r="G141" i="7"/>
  <c r="G17" i="7"/>
  <c r="L17" i="7" s="1"/>
  <c r="G21" i="7"/>
  <c r="L21" i="7" s="1"/>
  <c r="G23" i="7"/>
  <c r="L23" i="7" s="1"/>
  <c r="G25" i="7"/>
  <c r="L25" i="7" s="1"/>
  <c r="G27" i="7"/>
  <c r="L27" i="7" s="1"/>
  <c r="G37" i="7"/>
  <c r="L37" i="7" s="1"/>
  <c r="L47" i="7"/>
  <c r="L49" i="7"/>
  <c r="L51" i="7"/>
  <c r="L53" i="7"/>
  <c r="G64" i="7"/>
  <c r="L64" i="7" s="1"/>
  <c r="G66" i="7"/>
  <c r="L66" i="7" s="1"/>
  <c r="G68" i="7"/>
  <c r="L68" i="7" s="1"/>
  <c r="G70" i="7"/>
  <c r="L70" i="7" s="1"/>
  <c r="G72" i="7"/>
  <c r="L72" i="7" s="1"/>
  <c r="G74" i="7"/>
  <c r="L74" i="7" s="1"/>
  <c r="G76" i="7"/>
  <c r="L76" i="7" s="1"/>
  <c r="G78" i="7"/>
  <c r="L78" i="7" s="1"/>
  <c r="G80" i="7"/>
  <c r="L80" i="7" s="1"/>
  <c r="G82" i="7"/>
  <c r="L82" i="7" s="1"/>
  <c r="G84" i="7"/>
  <c r="L84" i="7" s="1"/>
  <c r="G86" i="7"/>
  <c r="L86" i="7" s="1"/>
  <c r="G88" i="7"/>
  <c r="L88" i="7" s="1"/>
  <c r="G90" i="7"/>
  <c r="L90" i="7" s="1"/>
  <c r="D6" i="7"/>
  <c r="L114" i="7"/>
  <c r="L116" i="7"/>
  <c r="L118" i="7"/>
  <c r="L120" i="7"/>
  <c r="L122" i="7"/>
  <c r="L124" i="7"/>
  <c r="K141" i="7"/>
  <c r="L19" i="7"/>
  <c r="G16" i="7"/>
  <c r="L16" i="7" s="1"/>
  <c r="G18" i="7"/>
  <c r="G20" i="7"/>
  <c r="L20" i="7" s="1"/>
  <c r="G22" i="7"/>
  <c r="L22" i="7" s="1"/>
  <c r="G24" i="7"/>
  <c r="L24" i="7" s="1"/>
  <c r="G26" i="7"/>
  <c r="L26" i="7" s="1"/>
  <c r="G28" i="7"/>
  <c r="L28" i="7" s="1"/>
  <c r="L46" i="7"/>
  <c r="L48" i="7"/>
  <c r="L50" i="7"/>
  <c r="L52" i="7"/>
  <c r="L54" i="7"/>
  <c r="G63" i="7"/>
  <c r="G65" i="7"/>
  <c r="L65" i="7" s="1"/>
  <c r="G67" i="7"/>
  <c r="L67" i="7" s="1"/>
  <c r="G69" i="7"/>
  <c r="L69" i="7" s="1"/>
  <c r="G71" i="7"/>
  <c r="L71" i="7" s="1"/>
  <c r="G73" i="7"/>
  <c r="L73" i="7" s="1"/>
  <c r="G75" i="7"/>
  <c r="L75" i="7" s="1"/>
  <c r="G77" i="7"/>
  <c r="L77" i="7" s="1"/>
  <c r="G79" i="7"/>
  <c r="L79" i="7" s="1"/>
  <c r="G81" i="7"/>
  <c r="L81" i="7" s="1"/>
  <c r="G83" i="7"/>
  <c r="L83" i="7" s="1"/>
  <c r="G85" i="7"/>
  <c r="L85" i="7" s="1"/>
  <c r="G87" i="7"/>
  <c r="L87" i="7" s="1"/>
  <c r="G89" i="7"/>
  <c r="L89" i="7" s="1"/>
  <c r="F101" i="7"/>
  <c r="L111" i="7"/>
  <c r="L113" i="7"/>
  <c r="L115" i="7"/>
  <c r="L117" i="7"/>
  <c r="L119" i="7"/>
  <c r="L121" i="7"/>
  <c r="L123" i="7"/>
  <c r="L125" i="7"/>
  <c r="F141" i="7"/>
  <c r="L164" i="7"/>
  <c r="N32" i="6"/>
  <c r="N18" i="6"/>
  <c r="N21" i="6" s="1"/>
  <c r="N29" i="6"/>
  <c r="N35" i="6"/>
  <c r="N26" i="6"/>
  <c r="N16" i="6"/>
  <c r="L58" i="7"/>
  <c r="C6" i="7"/>
  <c r="N6" i="7"/>
  <c r="L142" i="7"/>
  <c r="G164" i="7"/>
  <c r="L9" i="7"/>
  <c r="L10" i="7"/>
  <c r="L11" i="7"/>
  <c r="L12" i="7"/>
  <c r="L30" i="7"/>
  <c r="L31" i="7"/>
  <c r="L32" i="7"/>
  <c r="L33" i="7"/>
  <c r="L39" i="7"/>
  <c r="L40" i="7"/>
  <c r="L41" i="7"/>
  <c r="L42" i="7"/>
  <c r="L43" i="7"/>
  <c r="L44" i="7"/>
  <c r="L102" i="7"/>
  <c r="L103" i="7"/>
  <c r="L104" i="7"/>
  <c r="L105" i="7"/>
  <c r="L106" i="7"/>
  <c r="L156" i="7"/>
  <c r="F8" i="7"/>
  <c r="F36" i="7"/>
  <c r="N7" i="6" l="1"/>
  <c r="G8" i="7"/>
  <c r="K6" i="7"/>
  <c r="L18" i="7"/>
  <c r="L110" i="7"/>
  <c r="F7" i="7"/>
  <c r="F6" i="7" s="1"/>
  <c r="G36" i="7"/>
  <c r="G7" i="7" s="1"/>
  <c r="G62" i="7"/>
  <c r="L63" i="7"/>
  <c r="L101" i="7"/>
  <c r="L141" i="7"/>
  <c r="L36" i="7"/>
  <c r="F175" i="2"/>
  <c r="N8" i="6" l="1"/>
  <c r="L8" i="7"/>
  <c r="G6" i="7"/>
  <c r="L62" i="7"/>
  <c r="L7" i="7"/>
  <c r="L6" i="7" l="1"/>
  <c r="E36" i="2"/>
  <c r="E37" i="2"/>
  <c r="E38" i="2"/>
  <c r="E39" i="2"/>
  <c r="E42" i="2"/>
  <c r="E35" i="2"/>
  <c r="F43" i="2"/>
  <c r="E43" i="2" s="1"/>
  <c r="D38" i="2"/>
  <c r="E31" i="2"/>
  <c r="E33" i="2"/>
  <c r="E28" i="2"/>
  <c r="E27" i="2"/>
  <c r="F26" i="2"/>
  <c r="G26" i="2"/>
  <c r="H26" i="2"/>
  <c r="E25" i="2"/>
  <c r="E26" i="2" s="1"/>
  <c r="F10" i="2" l="1"/>
  <c r="F11" i="9" s="1"/>
  <c r="E10" i="2"/>
  <c r="E342" i="2"/>
  <c r="E57" i="9" s="1"/>
  <c r="E44" i="1"/>
  <c r="D44" i="1"/>
  <c r="D41" i="1" s="1"/>
  <c r="E11" i="9" l="1"/>
  <c r="E20" i="2" l="1"/>
  <c r="G19" i="2"/>
  <c r="H19" i="2"/>
  <c r="F19" i="2"/>
  <c r="F12" i="9" s="1"/>
  <c r="F10" i="9" s="1"/>
  <c r="G9" i="2" l="1"/>
  <c r="G12" i="9"/>
  <c r="G10" i="9" s="1"/>
  <c r="H9" i="2"/>
  <c r="H12" i="9"/>
  <c r="H10" i="9" s="1"/>
  <c r="F9" i="2"/>
  <c r="E19" i="2"/>
  <c r="E9" i="2" l="1"/>
  <c r="E12" i="9"/>
  <c r="E10" i="9" s="1"/>
  <c r="F200" i="2" l="1"/>
  <c r="F104" i="2"/>
  <c r="F130" i="2" l="1"/>
  <c r="E56" i="9" l="1"/>
  <c r="E341" i="2"/>
  <c r="D33" i="9" l="1"/>
  <c r="F211" i="2" l="1"/>
  <c r="F58" i="9"/>
  <c r="F55" i="9"/>
  <c r="E55" i="9" s="1"/>
  <c r="F54" i="9"/>
  <c r="F53" i="9"/>
  <c r="F52" i="9"/>
  <c r="F51" i="9"/>
  <c r="F50" i="9"/>
  <c r="F48" i="9"/>
  <c r="F47" i="9"/>
  <c r="F45" i="9"/>
  <c r="F43" i="9"/>
  <c r="E43" i="9" s="1"/>
  <c r="F42" i="9"/>
  <c r="E42" i="9" s="1"/>
  <c r="F40" i="9"/>
  <c r="E40" i="9" s="1"/>
  <c r="F39" i="9"/>
  <c r="E39" i="9" s="1"/>
  <c r="G38" i="9"/>
  <c r="E38" i="9" s="1"/>
  <c r="F37" i="9"/>
  <c r="E37" i="9" s="1"/>
  <c r="F36" i="9"/>
  <c r="E36" i="9" s="1"/>
  <c r="F35" i="9"/>
  <c r="E35" i="9" s="1"/>
  <c r="F34" i="9"/>
  <c r="E34" i="9" s="1"/>
  <c r="F33" i="9"/>
  <c r="E33" i="9" s="1"/>
  <c r="F26" i="9"/>
  <c r="E26" i="9" s="1"/>
  <c r="H21" i="9" l="1"/>
  <c r="G21" i="9"/>
  <c r="F44" i="9"/>
  <c r="E44" i="9" s="1"/>
  <c r="F165" i="2"/>
  <c r="F111" i="2"/>
  <c r="G32" i="9"/>
  <c r="G30" i="9"/>
  <c r="G29" i="9"/>
  <c r="F123" i="2"/>
  <c r="F86" i="2" l="1"/>
  <c r="H30" i="9" l="1"/>
  <c r="F52" i="2"/>
  <c r="F54" i="2"/>
  <c r="H46" i="9"/>
  <c r="G46" i="9"/>
  <c r="H41" i="9"/>
  <c r="G41" i="9"/>
  <c r="H31" i="9"/>
  <c r="G31" i="9"/>
  <c r="H29" i="9"/>
  <c r="H28" i="9"/>
  <c r="G28" i="9"/>
  <c r="G25" i="9"/>
  <c r="H24" i="9"/>
  <c r="H20" i="9" s="1"/>
  <c r="H9" i="9" s="1"/>
  <c r="G24" i="9"/>
  <c r="G23" i="9"/>
  <c r="E41" i="9" l="1"/>
  <c r="F47" i="2"/>
  <c r="F160" i="2"/>
  <c r="F142" i="2" l="1"/>
  <c r="E58" i="9" l="1"/>
  <c r="E54" i="9"/>
  <c r="E53" i="9"/>
  <c r="E52" i="9"/>
  <c r="E51" i="9"/>
  <c r="E50" i="9"/>
  <c r="E49" i="9"/>
  <c r="D49" i="9"/>
  <c r="E48" i="9"/>
  <c r="D48" i="9"/>
  <c r="E47" i="9"/>
  <c r="E45" i="9"/>
  <c r="D44" i="9"/>
  <c r="E343" i="2"/>
  <c r="E204" i="2" l="1"/>
  <c r="E209" i="2" l="1"/>
  <c r="F31" i="9" l="1"/>
  <c r="E31" i="9" s="1"/>
  <c r="F170" i="2"/>
  <c r="F30" i="9" s="1"/>
  <c r="E30" i="9" s="1"/>
  <c r="F167" i="2"/>
  <c r="F153" i="2"/>
  <c r="F122" i="2"/>
  <c r="F25" i="9" s="1"/>
  <c r="E25" i="9" s="1"/>
  <c r="F110" i="2"/>
  <c r="F24" i="9" s="1"/>
  <c r="E24" i="9" s="1"/>
  <c r="F23" i="9"/>
  <c r="E23" i="9" s="1"/>
  <c r="F84" i="2"/>
  <c r="F21" i="9" l="1"/>
  <c r="F194" i="2"/>
  <c r="F32" i="9" s="1"/>
  <c r="E32" i="9" s="1"/>
  <c r="E189" i="2"/>
  <c r="D130" i="2" l="1"/>
  <c r="D27" i="9" s="1"/>
  <c r="D148" i="2" l="1"/>
  <c r="F133" i="2" l="1"/>
  <c r="F28" i="9" s="1"/>
  <c r="E28" i="9" s="1"/>
  <c r="E202" i="2" l="1"/>
  <c r="E207" i="2"/>
  <c r="G83" i="2" l="1"/>
  <c r="G22" i="9" s="1"/>
  <c r="G20" i="9" s="1"/>
  <c r="G9" i="9" s="1"/>
  <c r="F95" i="2" l="1"/>
  <c r="F94" i="2" l="1"/>
  <c r="E200" i="2"/>
  <c r="E190" i="2" l="1"/>
  <c r="E203" i="2"/>
  <c r="F152" i="2" l="1"/>
  <c r="F29" i="9" s="1"/>
  <c r="E29" i="9" s="1"/>
  <c r="E206" i="2"/>
  <c r="E130" i="2" l="1"/>
  <c r="F27" i="9"/>
  <c r="E27" i="9" s="1"/>
  <c r="E94" i="2"/>
  <c r="E84" i="2"/>
  <c r="D54" i="2"/>
  <c r="D334" i="2"/>
  <c r="D333" i="2"/>
  <c r="D326" i="2"/>
  <c r="D325" i="2"/>
  <c r="D324" i="2"/>
  <c r="D307" i="2"/>
  <c r="D296" i="2"/>
  <c r="D291" i="2"/>
  <c r="D286" i="2" s="1"/>
  <c r="D278" i="2"/>
  <c r="D274" i="2"/>
  <c r="D270" i="2"/>
  <c r="D263" i="2"/>
  <c r="D260" i="2"/>
  <c r="D254" i="2"/>
  <c r="D249" i="2"/>
  <c r="D246" i="2" s="1"/>
  <c r="D230" i="2"/>
  <c r="D223" i="2"/>
  <c r="D30" i="9"/>
  <c r="D167" i="2"/>
  <c r="D153" i="2"/>
  <c r="D128" i="2"/>
  <c r="D26" i="9" s="1"/>
  <c r="D122" i="2"/>
  <c r="D25" i="9" s="1"/>
  <c r="D118" i="2"/>
  <c r="D111" i="2"/>
  <c r="D106" i="2"/>
  <c r="D104" i="2" s="1"/>
  <c r="D23" i="9" s="1"/>
  <c r="D94" i="2"/>
  <c r="D87" i="2"/>
  <c r="D86" i="2"/>
  <c r="D32" i="9"/>
  <c r="D189" i="2"/>
  <c r="D175" i="2" s="1"/>
  <c r="D31" i="9" s="1"/>
  <c r="D28" i="9" l="1"/>
  <c r="D22" i="9"/>
  <c r="D47" i="2"/>
  <c r="D21" i="9" s="1"/>
  <c r="D110" i="2"/>
  <c r="D24" i="9" s="1"/>
  <c r="D253" i="2"/>
  <c r="D29" i="9"/>
  <c r="D217" i="2"/>
  <c r="D323" i="2"/>
  <c r="D310" i="2" s="1"/>
  <c r="D216" i="2" l="1"/>
  <c r="C216" i="2" s="1"/>
  <c r="E13" i="1" l="1"/>
  <c r="E14" i="1"/>
  <c r="E15" i="1"/>
  <c r="E16" i="1"/>
  <c r="I16" i="1" s="1"/>
  <c r="E17" i="1"/>
  <c r="E18" i="1"/>
  <c r="E19" i="1"/>
  <c r="E20" i="1"/>
  <c r="E21" i="1"/>
  <c r="E22" i="1"/>
  <c r="E23" i="1"/>
  <c r="H23" i="1" s="1"/>
  <c r="E24" i="1"/>
  <c r="E25" i="1"/>
  <c r="E26" i="1"/>
  <c r="E12" i="1"/>
  <c r="F27" i="1" l="1"/>
  <c r="F83" i="2" l="1"/>
  <c r="F46" i="2" s="1"/>
  <c r="F22" i="9" l="1"/>
  <c r="E22" i="9" l="1"/>
  <c r="F20" i="9"/>
  <c r="F44" i="1"/>
  <c r="F41" i="1" s="1"/>
  <c r="D11" i="1" l="1"/>
  <c r="D10" i="1" s="1"/>
  <c r="D9" i="1" s="1"/>
  <c r="E339" i="2"/>
  <c r="E338" i="2"/>
  <c r="E337" i="2"/>
  <c r="E336" i="2"/>
  <c r="E335" i="2"/>
  <c r="E334" i="2"/>
  <c r="E333" i="2"/>
  <c r="E332" i="2"/>
  <c r="E330" i="2"/>
  <c r="E210" i="2"/>
  <c r="E201" i="2"/>
  <c r="E194" i="2"/>
  <c r="G27" i="1"/>
  <c r="H35" i="1"/>
  <c r="H30" i="1"/>
  <c r="G11" i="1"/>
  <c r="G10" i="1" s="1"/>
  <c r="G9" i="1" s="1"/>
  <c r="H24" i="1"/>
  <c r="G41" i="1"/>
  <c r="F11" i="1"/>
  <c r="F10" i="1" s="1"/>
  <c r="F9" i="1" s="1"/>
  <c r="E42" i="1"/>
  <c r="E41" i="1" s="1"/>
  <c r="H14" i="1"/>
  <c r="H16" i="1"/>
  <c r="H18" i="1"/>
  <c r="H22" i="1"/>
  <c r="H25" i="1"/>
  <c r="C38" i="1"/>
  <c r="H31" i="1"/>
  <c r="I37" i="1"/>
  <c r="H37" i="1"/>
  <c r="H28" i="1"/>
  <c r="H26" i="1"/>
  <c r="H21" i="1"/>
  <c r="H20" i="1"/>
  <c r="H19" i="1"/>
  <c r="H17" i="1"/>
  <c r="H15" i="1"/>
  <c r="H36" i="1"/>
  <c r="E170" i="2" l="1"/>
  <c r="E122" i="2"/>
  <c r="E128" i="2"/>
  <c r="C52" i="1"/>
  <c r="G38" i="1"/>
  <c r="G52" i="1" s="1"/>
  <c r="E11" i="1"/>
  <c r="E10" i="1" s="1"/>
  <c r="E9" i="1" s="1"/>
  <c r="D38" i="1"/>
  <c r="E27" i="1"/>
  <c r="I27" i="1" s="1"/>
  <c r="F38" i="1"/>
  <c r="I9" i="1" l="1"/>
  <c r="H39" i="1"/>
  <c r="H10" i="1"/>
  <c r="E133" i="2"/>
  <c r="E152" i="2"/>
  <c r="E110" i="2"/>
  <c r="E83" i="2"/>
  <c r="H9" i="1"/>
  <c r="H11" i="1"/>
  <c r="H27" i="1"/>
  <c r="I41" i="1"/>
  <c r="H41" i="1"/>
  <c r="E38" i="1" l="1"/>
  <c r="E40" i="1" l="1"/>
  <c r="F40" i="1" s="1"/>
  <c r="H38" i="1"/>
  <c r="H40" i="1" l="1"/>
  <c r="E52" i="1"/>
  <c r="F52" i="1"/>
  <c r="D52" i="1" l="1"/>
  <c r="E211" i="2" l="1"/>
  <c r="E104" i="2" l="1"/>
  <c r="G46" i="2" l="1"/>
  <c r="G8" i="2" s="1"/>
  <c r="E47" i="2" l="1"/>
  <c r="E21" i="9" l="1"/>
  <c r="E20" i="9" s="1"/>
  <c r="E9" i="9" s="1"/>
  <c r="E175" i="2" l="1"/>
  <c r="H46" i="2" l="1"/>
  <c r="H8" i="2" s="1"/>
  <c r="E208" i="2"/>
  <c r="E46" i="2" l="1"/>
  <c r="E8" i="2" s="1"/>
  <c r="F8" i="2" l="1"/>
  <c r="F46" i="9" l="1"/>
  <c r="F9" i="9" s="1"/>
  <c r="H52" i="1"/>
</calcChain>
</file>

<file path=xl/sharedStrings.xml><?xml version="1.0" encoding="utf-8"?>
<sst xmlns="http://schemas.openxmlformats.org/spreadsheetml/2006/main" count="1054" uniqueCount="797">
  <si>
    <t>CÁC CHỈ TIÊU</t>
  </si>
  <si>
    <t xml:space="preserve">Tổng số </t>
  </si>
  <si>
    <t>Trong đó</t>
  </si>
  <si>
    <t>Tỉnh thu</t>
  </si>
  <si>
    <t>A</t>
  </si>
  <si>
    <t xml:space="preserve">I- NGÀNH THUẾ THU </t>
  </si>
  <si>
    <t xml:space="preserve">1-Thu từ XNQD  </t>
  </si>
  <si>
    <t xml:space="preserve">         - Thu DN trong nước</t>
  </si>
  <si>
    <t xml:space="preserve">         - Thu từ DN nước ngoài</t>
  </si>
  <si>
    <t>2-Thu CTN và dịch vụ NQD</t>
  </si>
  <si>
    <t>II-THU KHÁC NGÂN SÁCH</t>
  </si>
  <si>
    <t>III-THU TẠI XÃ</t>
  </si>
  <si>
    <t>B- CÁC KHOẢN THU ĐỂ LẠI CHI QUẢN LÝ QUA NSNN</t>
  </si>
  <si>
    <t xml:space="preserve">Thu học phí </t>
  </si>
  <si>
    <t>Thu viện phí</t>
  </si>
  <si>
    <t>Phí môi trường</t>
  </si>
  <si>
    <t xml:space="preserve">Thu viện trợ </t>
  </si>
  <si>
    <t xml:space="preserve">Thu hồi dự án khoa học </t>
  </si>
  <si>
    <t xml:space="preserve">Thu từ kết quả chống buôn lậu, xử phạt, tịch thu cấp lại </t>
  </si>
  <si>
    <t xml:space="preserve">Thu đóng góp XDCS hạ tầng tại xã </t>
  </si>
  <si>
    <t xml:space="preserve">Thu từ các hoạt động HCSN, các khoản thu khác </t>
  </si>
  <si>
    <t>Tổng thu NSNN trên địa bàn (A+B+C)</t>
  </si>
  <si>
    <t xml:space="preserve">                * Thu NSĐP </t>
  </si>
  <si>
    <t xml:space="preserve"> D- THU BỔ SUNG TỪ NGÂN SÁCH CẤP TRÊN</t>
  </si>
  <si>
    <t>1. Bổ sung cân đối,CCTL, CĐCS</t>
  </si>
  <si>
    <t xml:space="preserve"> - Bổ sung có MT bằng vốn trong nước</t>
  </si>
  <si>
    <t xml:space="preserve"> - Bổ sung có MT bằng vốn nước ngoài</t>
  </si>
  <si>
    <t>F- THU KẾT DƯ NGÂN SÁCH NĂM TRƯỚC</t>
  </si>
  <si>
    <t>TỔNG THU NSĐP</t>
  </si>
  <si>
    <t>C- THU HẢI QUAN</t>
  </si>
  <si>
    <t>A- NGÀNH THUẾ THU VÀ THU KHÁC NGÂN SÁCH</t>
  </si>
  <si>
    <t>H- CHUYỂN NGUỒN</t>
  </si>
  <si>
    <t>4-Thu cấp quyền sử dụng đất</t>
  </si>
  <si>
    <t>5-Tiền thuê đất, mặt nước</t>
  </si>
  <si>
    <t>6-Lệ phí trước bạ</t>
  </si>
  <si>
    <t>7-Thu phí và lệ phí</t>
  </si>
  <si>
    <t>8-Thu xổ số kiến thiết</t>
  </si>
  <si>
    <t>9-Thuế thu nhập cá nhân</t>
  </si>
  <si>
    <t xml:space="preserve">Chia ra:    * Thu NSTW </t>
  </si>
  <si>
    <t xml:space="preserve">  Trong đó: - Thu phạt ATGT </t>
  </si>
  <si>
    <t>Huyện, xã thu</t>
  </si>
  <si>
    <t>3-Thuế sử dụng đất phi nông nghiệp</t>
  </si>
  <si>
    <t>Thu phí dịch vụ VH, TT, DL</t>
  </si>
  <si>
    <t>2. Bổ sung nguồn thực hiện CCTL</t>
  </si>
  <si>
    <t>TT</t>
  </si>
  <si>
    <t>Chỉ tiêu</t>
  </si>
  <si>
    <t xml:space="preserve">C¸c chØ tiªu </t>
  </si>
  <si>
    <t>Tổng số</t>
  </si>
  <si>
    <t>NS tỉnh</t>
  </si>
  <si>
    <t>NS huyện</t>
  </si>
  <si>
    <t>NS xã</t>
  </si>
  <si>
    <t>TỔNG CHI NSĐP</t>
  </si>
  <si>
    <t>I</t>
  </si>
  <si>
    <t>CHI ĐẦU TƯ PHÁT TRIỂN</t>
  </si>
  <si>
    <t>Chi đầu tư XDCB</t>
  </si>
  <si>
    <t>a</t>
  </si>
  <si>
    <t xml:space="preserve">Chi ĐT XDCB tập trung trong nước </t>
  </si>
  <si>
    <t>Trong đó:</t>
  </si>
  <si>
    <t>b</t>
  </si>
  <si>
    <t>Vốn ĐT XDCB nước ngoài</t>
  </si>
  <si>
    <t>c</t>
  </si>
  <si>
    <t xml:space="preserve">Đầu tư có mục tiêu từ NSTW </t>
  </si>
  <si>
    <t>Chi đầu tư từ nguồn để lại theo chế độ quy định</t>
  </si>
  <si>
    <t>Cấp lại có mục tiêu vốn xổ kiến kiến thiết</t>
  </si>
  <si>
    <t>Tiền cấp quyền sử dụng đất</t>
  </si>
  <si>
    <t xml:space="preserve"> Trong đó:</t>
  </si>
  <si>
    <t xml:space="preserve"> - Nguồn tiền đất còn lại </t>
  </si>
  <si>
    <t xml:space="preserve">   + Theo Nguồn vay đầu tư của BTC trên địa bàn TPHT, TXHL</t>
  </si>
  <si>
    <t xml:space="preserve">   + Đất hạ tầng tái định cư dự án Formosa</t>
  </si>
  <si>
    <t xml:space="preserve">  + Tiền đất PS trên các địa bàn khác</t>
  </si>
  <si>
    <t xml:space="preserve"> * Phân bổ như sau</t>
  </si>
  <si>
    <t xml:space="preserve">  + Đầu tư các mục tiêu do Huyện xã quản lý</t>
  </si>
  <si>
    <t>Chi đầu tư từ nguồn đóng góp XDCSHT, khác</t>
  </si>
  <si>
    <t>II</t>
  </si>
  <si>
    <t>CHI THƯỜNG XUYÊN</t>
  </si>
  <si>
    <t>Sự nghiệp kinh tế</t>
  </si>
  <si>
    <t>Chi sự nghiệp NN, TL, thủy sản (Bao gồm: Tăng biên chế; Các chính sách khuyến nông, khuyên lâm; Chương trình giống cây con, hỗ trợ sản xuất và các chương trình, chính sách trong lĩnh vực nông nghiệp và nông thôn)</t>
  </si>
  <si>
    <t>Sự nghiệp Kiểm Lâm</t>
  </si>
  <si>
    <t>Sự nghiệp công thương (CS dùng hàng việt, TTSP)</t>
  </si>
  <si>
    <t>Phòng chống khắc phục thiên tai</t>
  </si>
  <si>
    <t>Sự nghiệp tài nguyên, đất đai</t>
  </si>
  <si>
    <t>Sự nghiệp xây dựng</t>
  </si>
  <si>
    <t xml:space="preserve"> Bổ sung tiền lương, BHTN, BHXH các SNKT, HNN</t>
  </si>
  <si>
    <t>Hỗ trợ khuyến khích công tác thu ngân sách (các cơ quan thu)</t>
  </si>
  <si>
    <t>Chi sự nghiệp môi trường</t>
  </si>
  <si>
    <t xml:space="preserve"> -  Hỗ trợ thực hiện các Đề án (Ứng phó tràn dầu; Trám lấp giếng; Điều tra tồn lưu hóa chất thuốc BVTV)</t>
  </si>
  <si>
    <t xml:space="preserve"> - Sự nghiệp giáo dục</t>
  </si>
  <si>
    <t xml:space="preserve">  + NS giao, Học bổng HSDT nội trú, trường THPT chuyên</t>
  </si>
  <si>
    <t xml:space="preserve"> + Bổ sung TL, PC; CĐ theo NĐ61, 116 CP</t>
  </si>
  <si>
    <t xml:space="preserve"> + Dự kiến tăng biên chế SN, hỗ trợ xử lý dôi dư</t>
  </si>
  <si>
    <t xml:space="preserve"> + Mua sắm, sửa chữa CSVC, trường lớp</t>
  </si>
  <si>
    <t xml:space="preserve"> - Sự nghiệp đào tạo</t>
  </si>
  <si>
    <t xml:space="preserve"> + Đào tạo CA xã (PL CA xã)  </t>
  </si>
  <si>
    <t xml:space="preserve"> + Đào tạo hoàn thiện THCN QS xã (QĐ số 779/TTg)</t>
  </si>
  <si>
    <t xml:space="preserve"> + Đào tạo lý luận chính trị, chuyên đề theo KH của Tỉnh ủy</t>
  </si>
  <si>
    <t xml:space="preserve"> + BSTL, BHXH, CĐ theo NĐ 116/NĐCP, CSCĐ khác</t>
  </si>
  <si>
    <t>Sự nghiệp y tế</t>
  </si>
  <si>
    <t xml:space="preserve"> - Phụ cấp độc hại, Chương trình HIV, VS an toàn thực phẩm</t>
  </si>
  <si>
    <t>Sự nghiệp văn hóa, thể thao, du lịch</t>
  </si>
  <si>
    <t xml:space="preserve"> - Ngân sách cấp (KP thường xuyên)</t>
  </si>
  <si>
    <t xml:space="preserve"> - Trợ cấp tai nạn, trợ cấp nghỉ thi đấu</t>
  </si>
  <si>
    <t xml:space="preserve">   + Hội Văn học nghệ thuật</t>
  </si>
  <si>
    <t xml:space="preserve">   + Hội nhà báo</t>
  </si>
  <si>
    <t xml:space="preserve"> - Chế độ DD HLV, VĐV thành tích cao, thi đấu, khác</t>
  </si>
  <si>
    <t xml:space="preserve"> - Bảo vệ di tích theo QĐ 26, BH Vận động viên</t>
  </si>
  <si>
    <t xml:space="preserve"> - BCĐ phong trào đoàn kết toàn dân, Đội TT lưu động</t>
  </si>
  <si>
    <t>Sự nghiệp phát thanh, truyền hình</t>
  </si>
  <si>
    <t xml:space="preserve"> - Bổ sung nhuận bút</t>
  </si>
  <si>
    <t xml:space="preserve"> - Phát sóng kênh truyền hình Hà Tĩnh lên vệ tinh</t>
  </si>
  <si>
    <t>Sự nghiệp công nghệ thông tin</t>
  </si>
  <si>
    <t>Sự nghiệp khoa học công nghệ</t>
  </si>
  <si>
    <t xml:space="preserve"> - Ngân sách cấp (trong đó Quỹ khoa học: 3 tỷ)</t>
  </si>
  <si>
    <t>Sự nghiệp đảm bảo xã hội</t>
  </si>
  <si>
    <t xml:space="preserve"> - Chi thường xuyên các đơn vị, Hội NN</t>
  </si>
  <si>
    <t xml:space="preserve"> - Sự nghiệp chăm sóc trẻ em và KHH GĐ </t>
  </si>
  <si>
    <t>Trong đó:  - CT CS Trẻ em có hoàn cảnh ĐB KK (Qũy BTTE)</t>
  </si>
  <si>
    <t xml:space="preserve">                  - SN chăm sóc trẻ em (Sở LĐ-TBXH)</t>
  </si>
  <si>
    <t xml:space="preserve"> - Chính sách cho gia đình chính sách, TB, LS</t>
  </si>
  <si>
    <t xml:space="preserve"> - Chính sách, chế độ đối với cán bộ thuộc diện TU quản lý</t>
  </si>
  <si>
    <t xml:space="preserve"> - Chính sách chế độ đảm bảo xã hội khác</t>
  </si>
  <si>
    <t xml:space="preserve">  Tr đó:  + Sàn GD việc làm</t>
  </si>
  <si>
    <t xml:space="preserve">             + Điều tra cung lao động</t>
  </si>
  <si>
    <t xml:space="preserve">             + Hoạt động của Ban công tác người CT</t>
  </si>
  <si>
    <t xml:space="preserve">             + Các đối tượng nghiện Ma túy</t>
  </si>
  <si>
    <t>Chi quốc phòng, BP, biên giới</t>
  </si>
  <si>
    <t xml:space="preserve"> - Chi quân sự địa phương</t>
  </si>
  <si>
    <t xml:space="preserve"> + Huấn luyện CĐ, TT; diễn tập, Dự bị động viên... </t>
  </si>
  <si>
    <t xml:space="preserve"> + Hoạt động ban chỉ đạo ATLC</t>
  </si>
  <si>
    <t xml:space="preserve"> + Báo quân đội </t>
  </si>
  <si>
    <t xml:space="preserve"> + ĐTHL xã Đội trưởng </t>
  </si>
  <si>
    <t xml:space="preserve"> + Kinh phí sàng lọc HIV cho bộ đội nhập ngũ </t>
  </si>
  <si>
    <t xml:space="preserve"> + Các chính sách chế độ về Quân sự</t>
  </si>
  <si>
    <t xml:space="preserve"> + Hoạt động Hội đồng GDAN-QP</t>
  </si>
  <si>
    <t xml:space="preserve"> + Chi công tác biên giới </t>
  </si>
  <si>
    <t xml:space="preserve"> + Chi công tác biên phòng và các nhiệm vụ khác</t>
  </si>
  <si>
    <t xml:space="preserve">Chi an ninh </t>
  </si>
  <si>
    <t xml:space="preserve"> - Các chính sách, nhiệm vụ đột xuất khác về ANTTĐP</t>
  </si>
  <si>
    <t xml:space="preserve"> - Quản lý nhà nước</t>
  </si>
  <si>
    <t xml:space="preserve"> - Dự kiến nhiệm vụ đột xuất của cấp ủy</t>
  </si>
  <si>
    <t xml:space="preserve"> - Tổ chức chính trị xã hội</t>
  </si>
  <si>
    <t xml:space="preserve"> - Sự nghiệp khác </t>
  </si>
  <si>
    <t xml:space="preserve"> - Đối ứng các dự án HCSN</t>
  </si>
  <si>
    <t xml:space="preserve"> - Tuyên truyền giáo dục pháp luật; Kinh phí mua hộ tịch, hộ khẩu; Xây dựng văn bản PL, Hỗ trợ PL cho DN  </t>
  </si>
  <si>
    <t xml:space="preserve"> - Trung tâm xúc tiến đầu tư </t>
  </si>
  <si>
    <t xml:space="preserve"> + TT thuộc Khu kinh tế Vũng áng</t>
  </si>
  <si>
    <t xml:space="preserve"> - Quản lý giá tài sản công</t>
  </si>
  <si>
    <t xml:space="preserve"> - Công tác địa giới hành chính (Sở Nội vụ)</t>
  </si>
  <si>
    <t xml:space="preserve"> - Quỹ thi đua khen thưởng tỉnh</t>
  </si>
  <si>
    <t xml:space="preserve"> - Chi từ nguồn phí, lệ phí HCSN để lại chi</t>
  </si>
  <si>
    <t xml:space="preserve"> - Bồi dưỡng kiến thức QLHCNN cho CC cấp xã</t>
  </si>
  <si>
    <t xml:space="preserve"> - Hỗ trợ các nhiệm vụ thanh tra, kiểm tra</t>
  </si>
  <si>
    <t>Chi ĐH, kỷ niệm ngày lễ lớn, kỷ niệm ngành</t>
  </si>
  <si>
    <t>Chi từ kết quả thu được để lại theo chế độ, XP ATGT</t>
  </si>
  <si>
    <t>Hỗ trợ các cơ quan pháp luật (Viện, Tòa, TH án…..)</t>
  </si>
  <si>
    <t>Chính sách tôn giáo</t>
  </si>
  <si>
    <t>DK chính sách mới do tỉnh ban hành</t>
  </si>
  <si>
    <t>Chi khác ngân sách</t>
  </si>
  <si>
    <t xml:space="preserve"> Trong đó  - NV CQ quân sự các cấp (BCHQS tỉnh)</t>
  </si>
  <si>
    <t xml:space="preserve">                 - Các nhiệm vụ, CĐCS khác về DQTV</t>
  </si>
  <si>
    <t>Hỗ trợ bảo vệ và phát triển đất lúa (NSTW)</t>
  </si>
  <si>
    <t>III</t>
  </si>
  <si>
    <t>CÁC ĐỀ ÁN, CS, NV PHÁT TRIỂN KT-XH CỦA TỈNH</t>
  </si>
  <si>
    <t>Lĩnh vực kinh tế</t>
  </si>
  <si>
    <t xml:space="preserve"> - CS Xuất khẩu</t>
  </si>
  <si>
    <t xml:space="preserve"> - Bổ sung vốn cho NH Chính sách </t>
  </si>
  <si>
    <t xml:space="preserve"> - CS Hỗ trợ DN theo QĐ 07/QĐ-UBND</t>
  </si>
  <si>
    <t xml:space="preserve"> - Quỹ bảo lãnh DN vừa và nhỏ</t>
  </si>
  <si>
    <t xml:space="preserve"> - CS BT, GPMB các dự án</t>
  </si>
  <si>
    <t xml:space="preserve"> - CS TH Đề án PT Cụm CN</t>
  </si>
  <si>
    <t xml:space="preserve"> - Hỗ trợ DN đầu tư vào lĩnh vực NN và NT</t>
  </si>
  <si>
    <t xml:space="preserve"> - Bổ sung quỹ ĐTPT địa phương</t>
  </si>
  <si>
    <t xml:space="preserve"> - Chương trình XD nông thôn mới </t>
  </si>
  <si>
    <t xml:space="preserve"> - Hỗ trợ kiến thiết thị chính ngoài định mức</t>
  </si>
  <si>
    <t xml:space="preserve"> + Thành Phố Hà Tĩnh</t>
  </si>
  <si>
    <t xml:space="preserve"> + Thị xã Hồng Lĩnh</t>
  </si>
  <si>
    <t xml:space="preserve"> + Các nhiệm vụ KTTC khác</t>
  </si>
  <si>
    <t xml:space="preserve"> - ĐA bảo quản chế biến sản phẩm chủ yếu</t>
  </si>
  <si>
    <t xml:space="preserve"> - Đề án QLBV và PT rừng</t>
  </si>
  <si>
    <t xml:space="preserve"> - Hỗ trợ PC dịch bệnh nguy hiểm trong chăn nuôi</t>
  </si>
  <si>
    <t xml:space="preserve"> - Tăng bổ sung Quỹ HTX</t>
  </si>
  <si>
    <t xml:space="preserve"> - CS thực hiện Đề án Phát triển Thương mại Nông thôn</t>
  </si>
  <si>
    <t xml:space="preserve"> - Dự án kiêm kê đo đạc cấp giấy CNQSD đất</t>
  </si>
  <si>
    <t xml:space="preserve"> - Chính sách hỗ trợ sản xuất lợn nái 100% máu ngoại</t>
  </si>
  <si>
    <t xml:space="preserve"> - Chính sách thủy sản (Nuôi cá)</t>
  </si>
  <si>
    <t xml:space="preserve"> - Chính sách Bò nhập ngoại </t>
  </si>
  <si>
    <t xml:space="preserve"> - Đề án giao đất, giao rừng</t>
  </si>
  <si>
    <t xml:space="preserve"> - Chính sách hỗ trợ công nghiệp phụ trợ</t>
  </si>
  <si>
    <t xml:space="preserve"> - Chính sách hỗ trợ công nghiệp chế biến (Lâm sản, Hải sản, Nông sản, khác …)</t>
  </si>
  <si>
    <t>Lĩnh vực môi trường</t>
  </si>
  <si>
    <t xml:space="preserve"> - Đối ứng DA rác thải BV, Xử lý tồn dư Thuốc BVTV, khác</t>
  </si>
  <si>
    <t xml:space="preserve"> - Bổ sung sự nghiệp môi trường đô thị ngoài định mức</t>
  </si>
  <si>
    <t>Lĩnh vực giáo dục và đào tạo</t>
  </si>
  <si>
    <t xml:space="preserve"> - Chính sách Phát triển Đại học HT</t>
  </si>
  <si>
    <t xml:space="preserve"> - CS hỗ trợ Trường CĐ Y chuyển địa điểm mới </t>
  </si>
  <si>
    <t xml:space="preserve"> - Đề án phát triển giáo dục đến năm 2015 (Bao gồm tăng cường CSVC)</t>
  </si>
  <si>
    <t xml:space="preserve"> - Hỗ trợ XD một số trường học mới sát nhập (ưu tiên xử lý cấp bách cho các trường có cơ sở vật chất quá yếu)</t>
  </si>
  <si>
    <t xml:space="preserve"> - Đề án dạy ngoại ngữ</t>
  </si>
  <si>
    <t xml:space="preserve"> - Ký túc xá Trường Năng khiếu tỉnh</t>
  </si>
  <si>
    <t>Lĩnh vực y tế</t>
  </si>
  <si>
    <t xml:space="preserve"> - Quỹ khám chữa bệnh cho người nghèo</t>
  </si>
  <si>
    <t xml:space="preserve"> </t>
  </si>
  <si>
    <t xml:space="preserve"> - Đề án phòng chống HIV</t>
  </si>
  <si>
    <t xml:space="preserve"> - Bệnh viện Đa khoa Nam Hà Tĩnh</t>
  </si>
  <si>
    <t xml:space="preserve"> - Đề án về Công tác Dân số KHHGĐ</t>
  </si>
  <si>
    <t>Lĩnh vực phát thanh truyền hình, CNTT</t>
  </si>
  <si>
    <t xml:space="preserve"> - Phát sóng trên vệ tinh theo chủ trương của tỉnh</t>
  </si>
  <si>
    <t xml:space="preserve"> - Đề án hỗ trợ Đài PT không dây cho 1 số xã KK, vùng sâu</t>
  </si>
  <si>
    <t xml:space="preserve"> - Hỗ trợ trang bị phương tiện hoạt động (Xe chuyên dùng cho Đài truyền hình tỉnh)</t>
  </si>
  <si>
    <t>Lĩnh vực xã hội</t>
  </si>
  <si>
    <t xml:space="preserve"> - CS hỗ trợ nhà ở cho Công nhân</t>
  </si>
  <si>
    <t xml:space="preserve"> - Quỹ Giải quyết việc làm</t>
  </si>
  <si>
    <t xml:space="preserve"> - Đề án về công tác Phụ nữ theo các QĐ, NĐ của CP: nuôi dạy con, giáo dục phẩm chất đạo đức, dạy nghề phụ nữ</t>
  </si>
  <si>
    <t>Lĩnh vực QLHC</t>
  </si>
  <si>
    <t xml:space="preserve"> - Đề án CNTT khối Đảng</t>
  </si>
  <si>
    <t xml:space="preserve"> - Đề án khu công nghệ tập trung của tỉnh</t>
  </si>
  <si>
    <t xml:space="preserve"> - Đề án ứng dụng CNTT CCHC huyện Vũ Quang (QĐ số 3388 của UBND tỉnh)</t>
  </si>
  <si>
    <t xml:space="preserve"> - KP Chuẩn bị thành lập TX Hoành Sơn (Bao gồm cả xây dựng cơ sở vật chất ban đầu)</t>
  </si>
  <si>
    <t xml:space="preserve"> - Trang điện tử Hội nhà Báo</t>
  </si>
  <si>
    <t>Lĩnh vực văn hóa, thể dục, thể thao</t>
  </si>
  <si>
    <t xml:space="preserve"> - Bổ sung kinh phí  ngoài định mức cho TP Hà Tĩnh</t>
  </si>
  <si>
    <t xml:space="preserve"> - Tu bổ di tích Văn hóa cấp tỉnh</t>
  </si>
  <si>
    <t xml:space="preserve"> - Tăng cường CSVC, TCVH cơ sở theo NQ HĐND</t>
  </si>
  <si>
    <t xml:space="preserve"> - Đề án Phát triển Du lịch</t>
  </si>
  <si>
    <t xml:space="preserve"> - Bảo tồn, phát huy Ví, Giặm Nghệ Tĩnh và đón nhận bằng công nhận Dân ca Ví, Dặm (Trong đó bảo tồn 2 tỷ)</t>
  </si>
  <si>
    <t xml:space="preserve"> - Kỷ niệm 250 năm ngày sinh Nguyễn Du</t>
  </si>
  <si>
    <t xml:space="preserve"> - Tăng cường thiết bị đồ dùng cho Thư viện tỉnh</t>
  </si>
  <si>
    <t>Chính sách khác</t>
  </si>
  <si>
    <t xml:space="preserve"> - Hợp tác đầu tư công tư (PPP)</t>
  </si>
  <si>
    <t xml:space="preserve"> - Bổ sung vốn đối ứng ODA gồm cả HCSN</t>
  </si>
  <si>
    <t xml:space="preserve"> - Phát triển KTXH các xã ảnh hưởng Khai thác Mỏ sắt</t>
  </si>
  <si>
    <t xml:space="preserve"> - Bổ sung vốn hạ tầng Khu kinh tế tỉnh (Bố trí thu hồi vốn vay Quỹ đầu tư phát triển)</t>
  </si>
  <si>
    <t xml:space="preserve"> - Bổ sung quỹ hỗ trợ nông dân (Hội Nông dân)</t>
  </si>
  <si>
    <t xml:space="preserve"> - Hỗ trợ CSHT các khu SX tập trung </t>
  </si>
  <si>
    <t xml:space="preserve"> - Kiến thiết thị chính</t>
  </si>
  <si>
    <t xml:space="preserve"> - Đầu tư Trung tâm Logistics Vũng Áng</t>
  </si>
  <si>
    <t xml:space="preserve"> - Đầu tư Khu trung tâm Hành chính tỉnh Hà Tĩnh</t>
  </si>
  <si>
    <t xml:space="preserve">Trả nợ vay </t>
  </si>
  <si>
    <t>IV</t>
  </si>
  <si>
    <t>CHI MỘT SỐ NHIỆM VỤ BTC HỖ TRỢ</t>
  </si>
  <si>
    <t>V</t>
  </si>
  <si>
    <t>DỰ PHÒNG NGÂN SÁCH</t>
  </si>
  <si>
    <t>VI</t>
  </si>
  <si>
    <t>CHI BỔ SUNG QUỸ DỰ TRỮ TÀI CHÍNH</t>
  </si>
  <si>
    <t>VII</t>
  </si>
  <si>
    <t>VIII</t>
  </si>
  <si>
    <t>IX</t>
  </si>
  <si>
    <t>X</t>
  </si>
  <si>
    <t>XI</t>
  </si>
  <si>
    <t>TĂNG BIÊN CHẾ HCSN THEO CÁC QĐ UBND TỈNH, KHÁC</t>
  </si>
  <si>
    <t>XII</t>
  </si>
  <si>
    <t>KINH PHÍ CHUẨN BỊ ĐỘNG VIÊN (NSTW)</t>
  </si>
  <si>
    <t>XIII</t>
  </si>
  <si>
    <t>XIV</t>
  </si>
  <si>
    <t>THỰC HIỆN CÁC NV ĐỘT XUẤT KHỐI HX</t>
  </si>
  <si>
    <t>CHÍNH SÁCH BÌNH ỔN GIÁ</t>
  </si>
  <si>
    <t>CHI CÁC CTMTQG</t>
  </si>
  <si>
    <t>Phụ lục số 05</t>
  </si>
  <si>
    <t>Đơn vị</t>
  </si>
  <si>
    <t>Tổng cộng</t>
  </si>
  <si>
    <t>Huyện Kỳ Anh</t>
  </si>
  <si>
    <t>Huyện Cẩm Xuyên</t>
  </si>
  <si>
    <t>TP Hà Tĩnh</t>
  </si>
  <si>
    <t>Huyện Thạch Hà</t>
  </si>
  <si>
    <t>Huyện Can Lộc</t>
  </si>
  <si>
    <t>Huyện Đức Thọ</t>
  </si>
  <si>
    <t>Huyện Nghi Xuân</t>
  </si>
  <si>
    <t>Huyện Hương Sơn</t>
  </si>
  <si>
    <t>Huyện Hương Khê</t>
  </si>
  <si>
    <t>TX Hồng Lĩnh</t>
  </si>
  <si>
    <t>Huyện Vũ Quang</t>
  </si>
  <si>
    <t>Huyện Lộc Hà</t>
  </si>
  <si>
    <t>Thu NSNN trên địa bàn</t>
  </si>
  <si>
    <t>Thu ngân sách huyện, xã hưởng</t>
  </si>
  <si>
    <t>Thu bổ sung từ ngân sách cấp tỉnh</t>
  </si>
  <si>
    <t>Tổng thu ngân sách huyện</t>
  </si>
  <si>
    <t>Cộng</t>
  </si>
  <si>
    <t>NS cấp huyện</t>
  </si>
  <si>
    <t>NS cấp xã</t>
  </si>
  <si>
    <t>Phụ lục số 03</t>
  </si>
  <si>
    <t>1. Chi ngân sách cấp huyện</t>
  </si>
  <si>
    <t>2. Chi ngân sách cấp xã</t>
  </si>
  <si>
    <t>Chi đầu tư phát triển</t>
  </si>
  <si>
    <t>Chi thường xuyên</t>
  </si>
  <si>
    <t>Dự phòng</t>
  </si>
  <si>
    <t>Văn phòng điều phối NTM</t>
  </si>
  <si>
    <t>Văn phòng Ban ATGT</t>
  </si>
  <si>
    <t>Chi cục Văn thư lưu trữ (Phần SN)</t>
  </si>
  <si>
    <t>Phụ lục số 04</t>
  </si>
  <si>
    <t>Biên chế</t>
  </si>
  <si>
    <t>KH</t>
  </si>
  <si>
    <t>Phụ lục số 01</t>
  </si>
  <si>
    <t>Phụ lục số 02</t>
  </si>
  <si>
    <t xml:space="preserve"> - CS TH các NV, DA khoa học Công nghệ (Bao gồm chính sách nấm 3 tỷ)</t>
  </si>
  <si>
    <t>Hỗ trợ hoạt động của Ban PCLB tỉnh</t>
  </si>
  <si>
    <t xml:space="preserve"> - SNMT (Sở TNMT, CSMT CA tỉnh 200 tr)</t>
  </si>
  <si>
    <t xml:space="preserve">             + Đón hài cốt, quà, thăm viếng đối tượng ngày lễ tết, QL đối tượng theo QĐ 16, Phổ biến PL lao động …</t>
  </si>
  <si>
    <t xml:space="preserve"> - Sữa chữa công sở, MSSC tài sản các đơn vị HCSN</t>
  </si>
  <si>
    <t xml:space="preserve"> - Các chế độ chính sách về quản lý hành chính</t>
  </si>
  <si>
    <t>Chi từ nguồn viện trợ nước ngoài (Dự án PTNN)</t>
  </si>
  <si>
    <t xml:space="preserve"> - Bổ sung kinh phí ngoài định mức cho TXHL</t>
  </si>
  <si>
    <t xml:space="preserve">SCL, MS TÀI SẢN VÀ CÁC NV ĐỘT XUẤT KHÁC </t>
  </si>
  <si>
    <t>DỰ KIẾN NGUỒN CCTL, CĐCS THEO TL</t>
  </si>
  <si>
    <t>TRẢ NỢ, THU HỒI TẠM ỨNG NS</t>
  </si>
  <si>
    <t>3. Bổ sung có mục tiêu</t>
  </si>
  <si>
    <t>Dự toán năm 2016</t>
  </si>
  <si>
    <t xml:space="preserve"> + Đề án đào tạo bồi dưỡng cán bộ Hội LH phụ nữ; hỗ trợ thành lập mới, đào tạo, bồi dưỡng cán bộ HTX (NSTW)</t>
  </si>
  <si>
    <t xml:space="preserve"> + Chuyển xếp lương, chuyển đổi mầm non, TH phổ thông sang công lập, HĐ Kế toán, Y tế học đường (NSTW)</t>
  </si>
  <si>
    <t xml:space="preserve">                 - Trang phục DQTV (BCHQS tỉnh) (NSTW)</t>
  </si>
  <si>
    <t xml:space="preserve"> - Trợ nợ vay tín dụng ưu đãi (KH năm 2014 và 2015 bố trí từ nguồn tăng thu) </t>
  </si>
  <si>
    <t xml:space="preserve"> - Tăng theo NĐ 116,64</t>
  </si>
  <si>
    <t xml:space="preserve"> - Tiền công HLV, VĐV tập huấn, thi đấu </t>
  </si>
  <si>
    <t xml:space="preserve">  - Trả nợ BTC </t>
  </si>
  <si>
    <t>11- Cấp quyền khai thác khoáng sản</t>
  </si>
  <si>
    <t xml:space="preserve">   + Hạ tầng tái định cư dự án Ngàn trươi Cẩm Trang</t>
  </si>
  <si>
    <t xml:space="preserve">  + DK từ nguồn Xuân Thành Land</t>
  </si>
  <si>
    <t xml:space="preserve">  + Trả nợ vốn vay  BTC, tạm ứng NS</t>
  </si>
  <si>
    <t xml:space="preserve">  + Cấp lại TP Hà Tĩnh (Đất nhà đầu tư) </t>
  </si>
  <si>
    <t xml:space="preserve"> - Ngân sách đảm bảo</t>
  </si>
  <si>
    <t xml:space="preserve">             + Các KH chương trình của ngành lao động theo QĐ của UBND tỉnh (bao gồm điều tra hộ nghèo, hộ cận nghèo)</t>
  </si>
  <si>
    <t xml:space="preserve"> - Bổ sung vốn Quỹ bảo trì đường bộ</t>
  </si>
  <si>
    <t xml:space="preserve"> + Thị xã Kỳ Anh</t>
  </si>
  <si>
    <t xml:space="preserve"> - Xử lý rác thải sinh hoạt cấp bách các huyện kể cả hỗ trợ chi phí vận chuyển rác thải</t>
  </si>
  <si>
    <t xml:space="preserve"> - Đề án bệnh viện vệ tinh</t>
  </si>
  <si>
    <t xml:space="preserve"> - Bổ sung kinh phí ngoài định mức cho TX Kỳ Anh</t>
  </si>
  <si>
    <t>Đề án, chính sách mới</t>
  </si>
  <si>
    <t xml:space="preserve"> - Phần mềm đăng ký hộ tịch (theo Kế hoạch 312/KH-UBND ngày 07/7/2015 của UBND  tỉnh)</t>
  </si>
  <si>
    <t xml:space="preserve"> - Hỗ trợ phát triển tài sản trí tuệ</t>
  </si>
  <si>
    <t xml:space="preserve"> - Chính sách trường chuyên và các trường THPT</t>
  </si>
  <si>
    <t xml:space="preserve"> - Dịch vụ công trực tuyến</t>
  </si>
  <si>
    <t xml:space="preserve"> - Nâng cao hiệu quả HĐ của Đài truyền thanh không dây giai đoạn 2015-2017 và những năm tiếp theo</t>
  </si>
  <si>
    <t xml:space="preserve"> - Phụ cấp trưởng ban công tác mặt trận ở thôn, tổ dân phố, cán bộ UBKT đảng cấp xã, Đội viên thuộc đề án 500, đề án theo QĐ 218, đề án dạy nghề cho người khuyết tật</t>
  </si>
  <si>
    <t xml:space="preserve"> - Chính sách thực hiện Nghị định 29/2013/NĐ-CP (phần do NSĐP phải đảm bảo)</t>
  </si>
  <si>
    <t xml:space="preserve"> - Hỗ trợ thực hiện NQ nội chính và các NQ khác của Tỉnh ủy, HĐND tỉnh</t>
  </si>
  <si>
    <t xml:space="preserve"> - Hỗ trợ con liệt sỹ, thương binh vào làm việc</t>
  </si>
  <si>
    <t xml:space="preserve"> - Hỗ trợ vốn đầu tư phát triển 3 đô thị</t>
  </si>
  <si>
    <t xml:space="preserve"> - Hỗ trợ đầu tư huyện mới Kỳ Anh</t>
  </si>
  <si>
    <t xml:space="preserve"> - Quỹ dự trữ vật tư thú y</t>
  </si>
  <si>
    <t xml:space="preserve"> - Hỗ trợ sửa chữa lớn cơ sở vật chất phục vụ các nhiệm vụ chính trị</t>
  </si>
  <si>
    <t>Các chính sách khác</t>
  </si>
  <si>
    <t>Sàn Giao dịch việc làm</t>
  </si>
  <si>
    <t>Ban Chỉ đạo ĐA 61 của tỉnh (Hội Nông dân)</t>
  </si>
  <si>
    <t xml:space="preserve"> + Hỗ trợ thực hiện các nhiệm vụ tại Khu kinh tế Vũng Áng, sửa chữa tàu xuồng tuần tra đảo Sơn Dương, giao ban nước bạn Lào, sửa chữa vũ khí trang bị KT giúp nước bạn Lào</t>
  </si>
  <si>
    <t xml:space="preserve"> - DK Thực hiện NĐ 29/2013/CP về CB BCT, thôn, chi hội</t>
  </si>
  <si>
    <t xml:space="preserve"> - Trả nợ thu hồi các dự án ứng trước năm 2015</t>
  </si>
  <si>
    <t xml:space="preserve"> + Ngân sách cấp (Gồm ĐT NLLĐ KT, ĐT Lào,Thu hút theo Quyết định số 14)</t>
  </si>
  <si>
    <t xml:space="preserve"> DK Hỗ trợ các CS TW ban hành do ĐP đảm bảo (NSTW)</t>
  </si>
  <si>
    <t xml:space="preserve"> - Chi thường xuyên (Gồm cả Hỗ trợ thực hiện nhiệm vụ tại KKT VA;  Đưa đón các Đoàn; Hỗ trợ TH Luật PCCC; Hỗ trợ SC nhà tạm giam các đơn vị; PCTN, buôn lậu; Tình báo; Hỗ trợ thi hành luật PCCC, Hỗ trợ mua sắm…) </t>
  </si>
  <si>
    <t>Các KH chăm sóc TE có hoàn cảnh KH, ĐA, CT ngành Lao động: Chăm sóc TE, Trợ giúp người khuyết tật…</t>
  </si>
  <si>
    <t xml:space="preserve"> - Đào tạo phổ cập CB xã + THBD ngành </t>
  </si>
  <si>
    <t>Nội dung</t>
  </si>
  <si>
    <t>NS cấp tỉnh</t>
  </si>
  <si>
    <t xml:space="preserve"> -</t>
  </si>
  <si>
    <t xml:space="preserve"> - CS hỗ trợ trường CĐ văn hóa</t>
  </si>
  <si>
    <t xml:space="preserve"> - Hỗ trợ trường PTTH Hương Sơn chuyển địa điểm mới</t>
  </si>
  <si>
    <t xml:space="preserve"> - Chính sách đặc thù ngành Y tế (Bao gồm hỗ trợ một phần trang thiết bị y tế cấp bách)</t>
  </si>
  <si>
    <t xml:space="preserve"> - Hỗ trợ xây dựng trạm y tế xã</t>
  </si>
  <si>
    <t xml:space="preserve"> - CS Phát triển NNNT theo NQ90 (QĐ 24, CS Chăn nuôi lợn, Súc sản, Giống SP chủ lực, Rau củ quả, cải tạo đất cát hoang hóa bạc màu, hỗ trợ DN đầu tư vào NNNT và Khu nông nghiệp công nghệ cao)</t>
  </si>
  <si>
    <t xml:space="preserve"> - Chính sách đào tạo nghề (Trong đó Trường ĐH: 5 tỷ; Cao đẳng Nghề CN: 2 tỷ)</t>
  </si>
  <si>
    <t xml:space="preserve"> - Đề án Một số chính sách phát triển thể thao thành tích cao giai đoạn 2016- 2017 và những năm tiếp theo (bao gồm cả thành lập mới đội bóng chuyền)</t>
  </si>
  <si>
    <t xml:space="preserve"> - Công nghệ TT, CCHC các cơ quan nhà nước (Các Quyết định số: 4195, 3902, 3918 của UBND tỉnh)</t>
  </si>
  <si>
    <t xml:space="preserve"> - Thực hiện các nhiệm vụ, dự án quy hoạch (Bao gồm cả Bố trí các Quy hoạch lớn, trọng điểm)</t>
  </si>
  <si>
    <t xml:space="preserve"> - Đề án CP điện tử (Tích hợp, kết nối các hệ thống thông tin, dữ liệu điện tử từ Chính phủ, bộ, ngành, huyện , thị xã) và QĐ 2511, 3730, VB số 3818 của UBND Tỉnh; xây dựng CSDL quản lý đầu tư XDCB.</t>
  </si>
  <si>
    <t>Dự toán năm 2017</t>
  </si>
  <si>
    <t>Sự nghiệp giáo dục đào tạo và dạy nghề</t>
  </si>
  <si>
    <t>Chi quản lý hành chính, nhà nước, đảng, đoàn thể</t>
  </si>
  <si>
    <t xml:space="preserve"> - Đoàn ra, đoàn vào</t>
  </si>
  <si>
    <t xml:space="preserve"> - Các hội nghề nghiệp, xã hội</t>
  </si>
  <si>
    <t xml:space="preserve"> - Đón nhận bằng dân ca, ví dặm (trả nợ)</t>
  </si>
  <si>
    <t xml:space="preserve"> - Quỹ bảo trợ trẻ em</t>
  </si>
  <si>
    <t>CS trợ giá hỗ trợ Hộ nghèo vùng KK (QĐ số 102/TTg)</t>
  </si>
  <si>
    <t xml:space="preserve"> + Các chính sách về Đào tạo do tỉnh ban hành: Chính sách phát triển đại học, chính sách đào tạo nghề v.v.. (phân bổ sau)</t>
  </si>
  <si>
    <t xml:space="preserve"> - Tăng cường cơ sở vật chất </t>
  </si>
  <si>
    <t xml:space="preserve"> - Hỗ trợ khác </t>
  </si>
  <si>
    <t xml:space="preserve">             + Hỗ trợ mổ tim bẩm sinh cho trẻ em theo QĐ 55/TTg</t>
  </si>
  <si>
    <t xml:space="preserve"> - Chi phí vận chuyển, xử lý rác</t>
  </si>
  <si>
    <t xml:space="preserve"> - Hỗ trợ xử lý môi trường khác</t>
  </si>
  <si>
    <t>Hỗ trợ phát triển các đô thị theo Nghị quyết HĐND tỉnh</t>
  </si>
  <si>
    <t xml:space="preserve"> + Chi hoạt động thường xuyên</t>
  </si>
  <si>
    <t xml:space="preserve"> + Đảm bảo tỷ lệ (%) chi hoạt động sự nghiệp GD theo qui định và các chế độ chính sách khác chưa được cân đối trong dự toán</t>
  </si>
  <si>
    <t xml:space="preserve"> - Bù lỗ phát hành ấn phẩm, nhiệm vụ khác:</t>
  </si>
  <si>
    <t xml:space="preserve"> + Bù lỗ báo, báo ĐT + tiền nhuận bút, khác</t>
  </si>
  <si>
    <t xml:space="preserve"> + Bù lỗ tạp chí tư tưởng</t>
  </si>
  <si>
    <t xml:space="preserve"> + Bản tin Dân vận</t>
  </si>
  <si>
    <t xml:space="preserve"> + Dự kiến bố trí Trang Webste Tỉnh ủy (phân bổ sau)</t>
  </si>
  <si>
    <t xml:space="preserve"> + Tạp chí Ban Nội chính</t>
  </si>
  <si>
    <t xml:space="preserve"> + Giao ban Báo chí </t>
  </si>
  <si>
    <t xml:space="preserve"> + Các nhiệm vụ khác</t>
  </si>
  <si>
    <t xml:space="preserve"> Chính sách miễn thu thủy lợi phí (NSTW)</t>
  </si>
  <si>
    <t xml:space="preserve"> - Bổ sung PTTH trạm phát lại </t>
  </si>
  <si>
    <t>Hỗ trợ nhân rộng hệ thống dịch vụ công trực tuyến tại các huyện, thị xã, thành phố</t>
  </si>
  <si>
    <t>Hỗ trợ nhân rộng hệ thống một cửa điện tử và dịch vụ công trực tuyến tại các huyện, thị xã, thành phố</t>
  </si>
  <si>
    <t xml:space="preserve"> + Hỗ trợ phần mềm quản lý học sinh</t>
  </si>
  <si>
    <t xml:space="preserve"> + Trung tâm hỗ trợ Doanh nghiệp và xúc tiến đầu tư tỉnh</t>
  </si>
  <si>
    <t xml:space="preserve"> - Sáng tạo báo chí các hội VHNT, Hội nhà báo ĐP (cấp bổ sung khi NSTW chuyển nguồn)</t>
  </si>
  <si>
    <t>Sự nghiệp Giao thông (bao gồm kinh phí trật tự an toàn giao thông 5 tỷ)</t>
  </si>
  <si>
    <t>Hỗ trợ phần mềm, tập huấn Luật NSNN và các văn bản dưới Luật cho khối huyện, thị xã, thành phố, xã, phường, thị trấn</t>
  </si>
  <si>
    <t xml:space="preserve"> - Hoạt động đặc thù HĐND tỉnh</t>
  </si>
  <si>
    <t xml:space="preserve"> - Hoạt động đột xuất UBND tỉnh và các ngành</t>
  </si>
  <si>
    <t xml:space="preserve"> + Dự kiến hỗ trợ kinh phí diễn tập phòng thủ cấp huyện</t>
  </si>
  <si>
    <t xml:space="preserve"> - Các nhiệm vụ đột xuất về an ninh cấp tỉnh và thành phố</t>
  </si>
  <si>
    <t>Duy tu, bão dưỡng đường tỉnh lộ, huyện lộ</t>
  </si>
  <si>
    <t>Bù Hỗ trợ kiến thiết thị chính ngoài định mức</t>
  </si>
  <si>
    <t xml:space="preserve"> + Đối ứng vốn chuẩn bị động viên (NSĐP)</t>
  </si>
  <si>
    <t>Thực hiện pháp lệnh CA xã (Trang phục: 5,850 tỷ và CĐCS)</t>
  </si>
  <si>
    <t xml:space="preserve"> - Bố trí thu hồi ứng kinh phí xây dựng trụ sở Công an tỉnh</t>
  </si>
  <si>
    <t>Dự toán HĐND giao năm 2016</t>
  </si>
  <si>
    <t>Ước TH 2016</t>
  </si>
  <si>
    <t>Dự toán TW giao năm 2017</t>
  </si>
  <si>
    <t>Dự toán HĐND giao 2017</t>
  </si>
  <si>
    <t>% DT 2017 so với</t>
  </si>
  <si>
    <t>CHI CHÍNH SÁCH CỦA TỈNH TỪ NGUỒN VAY TÍN DỤNG</t>
  </si>
  <si>
    <t>ƯTH năm 2016</t>
  </si>
  <si>
    <t xml:space="preserve">                 - Dụng cụ hỗ trợ cho DQTV</t>
  </si>
  <si>
    <t>TỔNG HỢP DỰ TOÁN CHI NGÂN SÁCH  ĐỊA PHƯƠNG NĂM 2017</t>
  </si>
  <si>
    <t>11.1</t>
  </si>
  <si>
    <t>11.2</t>
  </si>
  <si>
    <t>11.3</t>
  </si>
  <si>
    <t>11.4</t>
  </si>
  <si>
    <t>11.5</t>
  </si>
  <si>
    <t>11.6</t>
  </si>
  <si>
    <t>11.7</t>
  </si>
  <si>
    <t>11.8</t>
  </si>
  <si>
    <t>11.9</t>
  </si>
  <si>
    <t>11.10</t>
  </si>
  <si>
    <t>11.11</t>
  </si>
  <si>
    <t>11.12</t>
  </si>
  <si>
    <t>11.13</t>
  </si>
  <si>
    <t>11.14</t>
  </si>
  <si>
    <t>11.15</t>
  </si>
  <si>
    <t>11.16</t>
  </si>
  <si>
    <t>Chi thực hiện các chính sách của tỉnh gắn với đầu tư XDCB</t>
  </si>
  <si>
    <t xml:space="preserve"> - Kinh phí Đảng (Gồm PC cấp ủy, PC thâm niên, kiểm tra, tăng huy hiệu đảng bậc cao, khối DN, KCB định kỳ, CĐ phụ cấp, các nhiệm vụ đặc thù ) </t>
  </si>
  <si>
    <t xml:space="preserve"> - Kinh phí thực hiện đối với các TCCS Đảng (NSTW)</t>
  </si>
  <si>
    <t xml:space="preserve"> - Chi công tác biên phòng, biên giới</t>
  </si>
  <si>
    <t xml:space="preserve"> - BHYT người nghèo, DTTS, vùng khó khăn, người đang sinh sống tại vùng ĐBKK; BHYT học sinh, sinh viên; Đối tượng CCB,TNXP, trẻ em, cận nghèo, nông lâm ngư, diêm nghiệp, các đối tượng khác</t>
  </si>
  <si>
    <t>Thực hiện Luật DQTV (T.phục, công cụ hỗ trợ và CĐCS )</t>
  </si>
  <si>
    <t>CHI TỪ NGUỒN TĂNG THU DỰ KiẾN CHƯA PHÂN BỔ</t>
  </si>
  <si>
    <t>XV</t>
  </si>
  <si>
    <t>11.17</t>
  </si>
  <si>
    <t xml:space="preserve"> - Chi phí đầu tư Đề án Quỹ đất (55% tạm tính)</t>
  </si>
  <si>
    <t xml:space="preserve"> - Thu từ Đề án Quỹ đất</t>
  </si>
  <si>
    <t>10- Thuế bảo vệ môi trường</t>
  </si>
  <si>
    <t xml:space="preserve">  - Thu hồi tạm ứng các Dự án ứng nguồn 2016</t>
  </si>
  <si>
    <t xml:space="preserve">  + Hỗ trợ dự án BT,TĐC, bảo vệ môi trường hồ Bộc Nguyên và một số nội dung theo kết luận của Thường vụ Tỉnh ủy</t>
  </si>
  <si>
    <t>Tiền thuê đất 3 đô thị, địa bàn các xã nông thôn mới</t>
  </si>
  <si>
    <t>Chi đầu tư từ các nguồn khác để thực hiện chính sách</t>
  </si>
  <si>
    <t xml:space="preserve"> - Các đề án, chính sách của ngành (phát triển du lịch, thể thao thành tích cao)</t>
  </si>
  <si>
    <t>XVI</t>
  </si>
  <si>
    <t>4. Bổ sung vốn sự nghiệp để thực hiện một số chế độ, chính sách của Trung ương</t>
  </si>
  <si>
    <t>Trong đó:  Vốn nước ngoài</t>
  </si>
  <si>
    <t xml:space="preserve">   + Từ nguồn Quỹ phát triển đất</t>
  </si>
  <si>
    <t xml:space="preserve">   + Quỹ đất tái định cư các dự án</t>
  </si>
  <si>
    <t xml:space="preserve">  + Trích quỹ phát triển đất</t>
  </si>
  <si>
    <t xml:space="preserve">  + Trích dự phòng 10%</t>
  </si>
  <si>
    <t xml:space="preserve">  + QH sử dụng đất, Kiểm kê đo đạc, điều chỉnh QH, xây dựng bản đồ hiện trạng sử dụng đất …</t>
  </si>
  <si>
    <t xml:space="preserve">  + Hỗ trợ kinh phí GPMB các dự án</t>
  </si>
  <si>
    <t xml:space="preserve">  + Thực hiện các dự án đầu tư khác</t>
  </si>
  <si>
    <t xml:space="preserve"> DỰ TOÁN THU NGÂN SÁCH NHÀ NƯỚC NĂM 2017</t>
  </si>
  <si>
    <t>Thu từ Đề án phát triển quỹ đất</t>
  </si>
  <si>
    <t>55% chi phí đầu tư (tạm tính)</t>
  </si>
  <si>
    <t>45% số thu còn lại</t>
  </si>
  <si>
    <t>Thu từ Quỹ đất thuộc Khu tái định cư các dự án</t>
  </si>
  <si>
    <t>Thu từ quỹ đất đã giao các tổ chức, đơn vị, cơ quan sử dụng (thuộc quỹ đất chuyên dùng)</t>
  </si>
  <si>
    <t xml:space="preserve">Thu từ quỹ đất giao cho các nhà đầu tư </t>
  </si>
  <si>
    <t>Quỹ đất sử dụng vốn vay của Bộ Tài chính</t>
  </si>
  <si>
    <t>Quỹ đất còn lại</t>
  </si>
  <si>
    <t>TỔNG HỢP DỰ TOÁN THU TIỀN SỬ DỤNG ĐẤT NĂM 2017</t>
  </si>
  <si>
    <t>Chính sách phát triển cụm công nghiệp</t>
  </si>
  <si>
    <t>DỰ TOÁN CHI NGÂN SÁCH CÁC ĐƠN VỊ QUẢN LÝ HÀNH CHÍNH CẤP TỈNH NĂM 2017</t>
  </si>
  <si>
    <t>Đơn vị tính: Triệu đồng</t>
  </si>
  <si>
    <t xml:space="preserve"> TÊN ĐƠN VỊ </t>
  </si>
  <si>
    <t>Biên chế
KH 2016</t>
  </si>
  <si>
    <t>Biên chế
thực tế</t>
  </si>
  <si>
    <t>Quỹ lương kế hoạch (chưa điều chỉnh)</t>
  </si>
  <si>
    <t xml:space="preserve">Quỹ lương kế hoạch </t>
  </si>
  <si>
    <t>Định mức chi khác theo biên chế</t>
  </si>
  <si>
    <t>Hoạt động Ban vì tiến bộ phụ nữ</t>
  </si>
  <si>
    <t>Trang phục thanh tra</t>
  </si>
  <si>
    <t>Nghiệp vụ đặc thù</t>
  </si>
  <si>
    <t>Tổng số NS cấp năm 2017</t>
  </si>
  <si>
    <t>Giao thu phí, lệ phí</t>
  </si>
  <si>
    <t>Dự toán 2016</t>
  </si>
  <si>
    <t xml:space="preserve"> I </t>
  </si>
  <si>
    <t xml:space="preserve"> A </t>
  </si>
  <si>
    <t xml:space="preserve">Hỗ trợ Đoàn ĐBQH </t>
  </si>
  <si>
    <t>Trong đó: Trích lại theo TT 90</t>
  </si>
  <si>
    <t>Trong đó đoàn ra, đoàn vào</t>
  </si>
  <si>
    <t xml:space="preserve"> B </t>
  </si>
  <si>
    <t>Trong đó KP thi đua khen thưởng</t>
  </si>
  <si>
    <t>Chi cục Biển và hải đảo</t>
  </si>
  <si>
    <t>CC Quản lý đất đai</t>
  </si>
  <si>
    <t>Trung tâm hành chính tỉnh</t>
  </si>
  <si>
    <t xml:space="preserve">  - Cải cách HC, ISO</t>
  </si>
  <si>
    <t xml:space="preserve">  - Chỉnh lý TL </t>
  </si>
  <si>
    <t>Đột xuất, mua sắm, sửa chữa</t>
  </si>
  <si>
    <t xml:space="preserve"> II </t>
  </si>
  <si>
    <t>BQL Cửa khẩu QT Cầu Treo</t>
  </si>
  <si>
    <t>BQL Khu tưởng niệm Lý Tự Trọng</t>
  </si>
  <si>
    <t>BQL DA đền bù TĐC Ngàn Trươi CT</t>
  </si>
  <si>
    <t>BQL Khu vực mỏ sắt Thạch Khê</t>
  </si>
  <si>
    <t>Văn phòng đại diện sông cả</t>
  </si>
  <si>
    <t>Ban QL các DA trọng điểm</t>
  </si>
  <si>
    <t>Ban vì sự tiến bộ phụ nữ</t>
  </si>
  <si>
    <t>Trợ giúp pháp lý cho người nghèo và ĐTCS</t>
  </si>
  <si>
    <t>Đột xuất, tăng biên chế</t>
  </si>
  <si>
    <t>Đại hội nhiệm kỳ tỉnh đoàn</t>
  </si>
  <si>
    <t>Đại hội nhiệm kỳ Hội CCB</t>
  </si>
  <si>
    <t xml:space="preserve">Hội người cao tuổi </t>
  </si>
  <si>
    <t>Hội Bảo vệ QL người tiêu dùng</t>
  </si>
  <si>
    <t>Giải thưởng báo chí Trần Phú và Hội báo xuân</t>
  </si>
  <si>
    <t>Triển lãm ảnh mỹ thuật</t>
  </si>
  <si>
    <t>Hỗ trợ tạp chí Hồng Lĩnh</t>
  </si>
  <si>
    <t>Hỗ trợ tạp chí Hà Tĩnh Người làm báo</t>
  </si>
  <si>
    <t>Đại Hội Hội Kiến trúc sư</t>
  </si>
  <si>
    <t xml:space="preserve"> V </t>
  </si>
  <si>
    <t>TT Điều dưỡng người có công và BTXH</t>
  </si>
  <si>
    <t>TT Dịch vụ việc làm</t>
  </si>
  <si>
    <t xml:space="preserve">SN chăm sóc trẻ em (Sở LĐ) </t>
  </si>
  <si>
    <t>Hỗ trợ mổ tim bẩm sinh cho TE theo QĐ 55a/TTg</t>
  </si>
  <si>
    <t>CT Hành động phòng, chống MD (NSTW, cấp khi TW chuyển nguồn)</t>
  </si>
  <si>
    <t>CT bố trí dân cư (NSTW, cấp khi TW chuyển nguồn)</t>
  </si>
  <si>
    <t>CT Quốc gia về ATLĐ, VSLĐ (NSTW, cấp khi TW chuyển nguồn)</t>
  </si>
  <si>
    <t>CT Quốc gia về bình đẳng giới (NSTW cấp khi TW chuyển nguồn)</t>
  </si>
  <si>
    <t>Điều tra cung lao động</t>
  </si>
  <si>
    <t>Hoạt động Ban công tác người cao tuổi</t>
  </si>
  <si>
    <t xml:space="preserve"> VI </t>
  </si>
  <si>
    <t>Ban Chỉ đạo 389 (Hải quan)</t>
  </si>
  <si>
    <t xml:space="preserve">  DỰ TOÁN CHI SỰ NGHIỆP ĐÀO TẠO NĂM 2017 </t>
  </si>
  <si>
    <t>Tên đơn vị</t>
  </si>
  <si>
    <t>Quỹ lương</t>
  </si>
  <si>
    <t xml:space="preserve"> Chỉ tiêu tuyển sinh bình quân </t>
  </si>
  <si>
    <t>TỔNG SỐ</t>
  </si>
  <si>
    <t xml:space="preserve"> - Ngân sách cấp</t>
  </si>
  <si>
    <t>*</t>
  </si>
  <si>
    <t>Đào tạo các lớp cao cấp lý luận chính trị</t>
  </si>
  <si>
    <t xml:space="preserve"> * </t>
  </si>
  <si>
    <t xml:space="preserve"> Đào tạo sinh viên Lào </t>
  </si>
  <si>
    <t xml:space="preserve"> - Chi từ nguồn CC tiền lương tại đơn vị</t>
  </si>
  <si>
    <t>TX Kỳ Anh</t>
  </si>
  <si>
    <t>G-THU VAY</t>
  </si>
  <si>
    <t xml:space="preserve"> + Tăng cường CSVC trường Đại học</t>
  </si>
  <si>
    <t xml:space="preserve"> - Chính sách của ngành (chăm sóc sức khỏe nhân dân, dân số kế hoạch hóa gia đình, phòng chống HIV)</t>
  </si>
  <si>
    <t xml:space="preserve"> - Chính sách của ngành (sở hữu trí tuệ, thị trường KHCN)</t>
  </si>
  <si>
    <t>CHI CHÍNH SÁCH CỦA TỈNH TỪ NGUỒN VAY TÍN DỤNG (chính sách nông nghiệp, nông thôn, nông thôn mới)</t>
  </si>
  <si>
    <t>Tổng chi ngân sách huyện</t>
  </si>
  <si>
    <t>Ban chỉ đạo phòng chống khủng bố(CA tỉnh)</t>
  </si>
  <si>
    <t>Ban chỉ đạo về nhân quyền tỉnh</t>
  </si>
  <si>
    <t>Phụ lục số 06</t>
  </si>
  <si>
    <t>DỰ TOÁN THU NGÂN SÁCH HUYỆN, XÃ NĂM 2017</t>
  </si>
  <si>
    <t>Phụ lục số 07</t>
  </si>
  <si>
    <t>DỰ TOÁN CHI NGÂN SÁCH HUYỆN, XÃ NĂM 2017</t>
  </si>
  <si>
    <t>Dự toán chi ngân sách huyện năm 2017</t>
  </si>
  <si>
    <t>Phụ lục số 08</t>
  </si>
  <si>
    <t xml:space="preserve"> - Hỗ trợ hoạt động các Ban kiêm nhiệm</t>
  </si>
  <si>
    <t>Đại Hội Hội chữ thập đỏ</t>
  </si>
  <si>
    <t>Ko bao gồm BSMT</t>
  </si>
  <si>
    <t>DỰ TOÁN THU NGÂN SÁCH NHÀ NƯỚC GIAO CHO CÁC HUYỆN, THÀNH PHỐ, THỊ XÃ NĂM 2017</t>
  </si>
  <si>
    <t>Quốc doanh</t>
  </si>
  <si>
    <t>Đầu tư nước ngoài</t>
  </si>
  <si>
    <t>Ngoài QD</t>
  </si>
  <si>
    <t>Thu nhập cá nhân</t>
  </si>
  <si>
    <t>Trước bạ</t>
  </si>
  <si>
    <t>Phí</t>
  </si>
  <si>
    <t>Phi nông nghiệp</t>
  </si>
  <si>
    <t>Thuê đất</t>
  </si>
  <si>
    <t>Cấp quyền khai thác khoáng sản</t>
  </si>
  <si>
    <t>Tiền sử dụng đất</t>
  </si>
  <si>
    <t>Thu tại xã</t>
  </si>
  <si>
    <t>Thu khác ngân sách</t>
  </si>
  <si>
    <t>Phụ lục số 09</t>
  </si>
  <si>
    <t xml:space="preserve"> - Quỹ hỗ trợ Hội nông dân</t>
  </si>
  <si>
    <t>Trả nợ gốc theo thông báo của Bộ Tài chính</t>
  </si>
  <si>
    <t>Còn lại để phân bổ</t>
  </si>
  <si>
    <t xml:space="preserve"> + Tăng cường CSVC các cơ sở dạy nghề (Trung cấp nghề: 4,2 tỷ , Kỹ Nghệ: 2,2 tỷ , Dạy nghề Lý Tự Trọng: 3,6 tỷ )</t>
  </si>
  <si>
    <t>Chi từ nguồn viện trợ nước ngoài (Dự án PTNN- NSTW)</t>
  </si>
  <si>
    <t xml:space="preserve"> - Cấp lại có mục tiêu từ nguồn xổ số kiến thiết</t>
  </si>
  <si>
    <t xml:space="preserve"> - Trừ chi phí đầu tư (55%) quỹ phát triển đất</t>
  </si>
  <si>
    <t xml:space="preserve"> - Trả nợ vay Quỹ đất Bộ Tài chính</t>
  </si>
  <si>
    <t xml:space="preserve"> - Trích bổ sung Quỹ phát triển đất</t>
  </si>
  <si>
    <t xml:space="preserve"> - Còn lại để phân bổ</t>
  </si>
  <si>
    <t xml:space="preserve"> - Đào tạo CB chuyên trách cấp xã </t>
  </si>
  <si>
    <t xml:space="preserve"> - Trường CĐ luyện kim Hồng Lĩnh </t>
  </si>
  <si>
    <t xml:space="preserve"> - Bồi dưỡng, tập huấn </t>
  </si>
  <si>
    <t xml:space="preserve">Trường Chính trị Trần Phú </t>
  </si>
  <si>
    <t>CHI CÁC SỰ NGHIỆP DO NSTW ĐẢM BẢO (trong đó vốn ngoài nước: 145,4 tỷ)</t>
  </si>
  <si>
    <t>Thực hiện 11 tháng</t>
  </si>
  <si>
    <t>Tỷ lệ</t>
  </si>
  <si>
    <t>TH 11 tháng/DT</t>
  </si>
  <si>
    <t>ƯTH/DT</t>
  </si>
  <si>
    <t>TỔNG CHI NSĐP:</t>
  </si>
  <si>
    <t>Chi đầu tư XDCB (Bao gồm các nguồn vốn chuyển nguồn từ năm trước sang)</t>
  </si>
  <si>
    <t>Sự nghiệp giáo dục đào tạo</t>
  </si>
  <si>
    <t>Chi quản lý hành chính</t>
  </si>
  <si>
    <t xml:space="preserve">DK các CS TW ban hành do ĐP đảm bảo </t>
  </si>
  <si>
    <t>Hỗ trợ các cơ quan pháp luật (Viện, Tòa, TH án ...)</t>
  </si>
  <si>
    <t>DK thực hiện pháp lệnh CA xã (TP và CĐCS)</t>
  </si>
  <si>
    <t>Thực hiện Luật DQTV (T.phục và CĐCS 2016)</t>
  </si>
  <si>
    <t>DỰ KIẾN NGUỒN CCTL , CĐCS THEO TL</t>
  </si>
  <si>
    <t>KP THỰC HIỆN QĐ 168, 186; VÙNG CÓ ĐK KT-XH KHÓ KHĂN</t>
  </si>
  <si>
    <t xml:space="preserve">HỖ TRỢ CÁC ĐP (ẢNH HƯỞNG XD CÁC DỰ ÁN TRỌNG ĐIỂM) </t>
  </si>
  <si>
    <t>KINH PHÍ CHUẨN BỊ ĐỘNG VIÊN</t>
  </si>
  <si>
    <t>TH CÁC CS, ĐA, NV KHÁC DO HUYỆN XÃ QUẢN LÝ</t>
  </si>
  <si>
    <t>TRẢ NỢ, THU HỒI TẠM ỨNG NGÂN SÁCH</t>
  </si>
  <si>
    <t>XVII</t>
  </si>
  <si>
    <t>ỦY BAN NHÂN DÂN TỈNH</t>
  </si>
  <si>
    <t>BTVH</t>
  </si>
  <si>
    <t>CHI TỪ NGUỒN TĂNG THU DỰ KIẾN CHƯA PHÂN BỔ</t>
  </si>
  <si>
    <t>CHI CÁC SỰ NGHIỆP DO NSTW ĐẢM BẢO (trong đó vốn ngoài nước:145,4 tỷ đồng)</t>
  </si>
  <si>
    <t xml:space="preserve"> + Các nhiệm vụ đột xuất khác về QP, QSĐP (bao gồm đường hầm CH3- 02: 5 tỷ đồng)</t>
  </si>
  <si>
    <t xml:space="preserve"> + Các chính sách về giáo dục do tỉnh ban hành: Đề án phát triển giáo dục, đề án dạy ngoại ngữ, chính sách trường chuyên, hỗ trợ các trường chuyển địa điểm, thu hút nguồn nhân lực chất lượng cao v.v.. (phân bổ sau)</t>
  </si>
  <si>
    <t>Ước TH năm 2016</t>
  </si>
  <si>
    <t>Thực hiện</t>
  </si>
  <si>
    <t xml:space="preserve">Quản lý nhà nước </t>
  </si>
  <si>
    <t xml:space="preserve">Khối quản lý NN cấp I </t>
  </si>
  <si>
    <t xml:space="preserve">Sở Giáo dục Đào tạo </t>
  </si>
  <si>
    <t xml:space="preserve">Sở Xây dựng </t>
  </si>
  <si>
    <t xml:space="preserve">Sở Y tế </t>
  </si>
  <si>
    <t xml:space="preserve">Văn phòng HĐND </t>
  </si>
  <si>
    <t xml:space="preserve">Thanh tra tỉnh </t>
  </si>
  <si>
    <t xml:space="preserve">Sở Kế hoạch và đầu tư </t>
  </si>
  <si>
    <t xml:space="preserve">Sở Tài chính </t>
  </si>
  <si>
    <t xml:space="preserve">Sở Nông nghiệp PTNT </t>
  </si>
  <si>
    <t xml:space="preserve">Sở Tư pháp </t>
  </si>
  <si>
    <t xml:space="preserve">Sở Lao động TB&amp;XH </t>
  </si>
  <si>
    <t xml:space="preserve">Sở Công thương   </t>
  </si>
  <si>
    <t xml:space="preserve">Sở Văn hoá, Thể thao và Du lịch </t>
  </si>
  <si>
    <t xml:space="preserve">Sở Tài nguyên - Môi trường </t>
  </si>
  <si>
    <t xml:space="preserve">Sở Giao thông vận tải  </t>
  </si>
  <si>
    <t xml:space="preserve">Sở Khoa học CN </t>
  </si>
  <si>
    <t xml:space="preserve">Sở Nội vụ  </t>
  </si>
  <si>
    <t xml:space="preserve">Văn phòng UBND tỉnh </t>
  </si>
  <si>
    <t xml:space="preserve">Sở Ngoại vụ </t>
  </si>
  <si>
    <t>BQL Khu kinh tế tỉnh</t>
  </si>
  <si>
    <t xml:space="preserve">Sở Thông tin và Truyền Thông </t>
  </si>
  <si>
    <t xml:space="preserve">KP Bồi thường và chi trả bồi thường theo TT 71 </t>
  </si>
  <si>
    <t xml:space="preserve">Đột xuất, tăng biên chế, BS quỹ lương </t>
  </si>
  <si>
    <t xml:space="preserve">Đơn vị QLNN cấp II </t>
  </si>
  <si>
    <t xml:space="preserve">Ban thi đua khen thưởng </t>
  </si>
  <si>
    <t xml:space="preserve">Ban tôn giáo </t>
  </si>
  <si>
    <t xml:space="preserve">Chi cục văn thư lưu trữ </t>
  </si>
  <si>
    <t xml:space="preserve">Chi cục dân số- KHHGĐ </t>
  </si>
  <si>
    <t>Chi cục An toàn vệ sinh thực phẩm</t>
  </si>
  <si>
    <t xml:space="preserve">Chi cục bảo vệ môi trường </t>
  </si>
  <si>
    <t>Chi Cục Quản lý  thị trường</t>
  </si>
  <si>
    <t xml:space="preserve">Chi cục phát triển nông thôn </t>
  </si>
  <si>
    <t xml:space="preserve">Chi cục KL+ 12 Hạt KL các huyện + đội CĐ </t>
  </si>
  <si>
    <t xml:space="preserve">Chi cục Trồng trọt và BVTV </t>
  </si>
  <si>
    <t xml:space="preserve">Chi cục Chăn nuôi và Thú y </t>
  </si>
  <si>
    <t>Chi cục Quản lý CL nông lâm thủy sản</t>
  </si>
  <si>
    <t>Chi cục thuỷ lợi (nhập CC Đê điều)</t>
  </si>
  <si>
    <t>Chi cục Thủy sản (nhập CC khai thác &amp; nuôi trồng TS)</t>
  </si>
  <si>
    <t>Chi cục tiêu chuẩn đo lường chất lượng</t>
  </si>
  <si>
    <t xml:space="preserve">Thanh tra giao thông </t>
  </si>
  <si>
    <t xml:space="preserve">Thanh tra xây dựng </t>
  </si>
  <si>
    <t xml:space="preserve">Cải cách HC IZO, chỉnh lý tài liệu: </t>
  </si>
  <si>
    <t xml:space="preserve">Sự nghiệp khác </t>
  </si>
  <si>
    <t xml:space="preserve">Phòng Công chứng số I </t>
  </si>
  <si>
    <t xml:space="preserve">Phòng Công chứng số II </t>
  </si>
  <si>
    <t>Trung tâm Hỗ trợ doanh nghiệp và xúc tiến đầu tư tỉnh</t>
  </si>
  <si>
    <t xml:space="preserve">Trung tâm DV bán đấu giá tài sản </t>
  </si>
  <si>
    <t xml:space="preserve">Trung tâm Dịch vụ Tài chính công </t>
  </si>
  <si>
    <t>Trung tâm cấp nước Khu kinh tế</t>
  </si>
  <si>
    <t xml:space="preserve">Ban QLDT Đồng lộc </t>
  </si>
  <si>
    <t>Trung tâm Dịch vụ hạ tầng khu KT</t>
  </si>
  <si>
    <t>Trung tâm Xúc tiến ĐT và cung ứng NL khu KT</t>
  </si>
  <si>
    <t xml:space="preserve">Trung tâm hoạt động thanh thiếu nhi </t>
  </si>
  <si>
    <t xml:space="preserve">Tổng đội TNXPXDKTM Tây sơn </t>
  </si>
  <si>
    <t xml:space="preserve">Tổng đội TNXPXDKTM Phúc Trạch </t>
  </si>
  <si>
    <t xml:space="preserve">Trung tâm Hướng nghiệp Thuỷ sản TNXP </t>
  </si>
  <si>
    <t xml:space="preserve">Trung tâm DN và hỗ trợ VL nông dân </t>
  </si>
  <si>
    <t>Trung tâm Nước sạch và VS MTNT</t>
  </si>
  <si>
    <t xml:space="preserve">Trung tâm công báo tin học </t>
  </si>
  <si>
    <t xml:space="preserve">Trung tâm dịch thuật dịch vụ đối ngoại </t>
  </si>
  <si>
    <t xml:space="preserve">Trung tâm trợ giúp pháp lý </t>
  </si>
  <si>
    <t xml:space="preserve">Quỹ Phát triển phụ nữ </t>
  </si>
  <si>
    <t xml:space="preserve">UBĐK Công giáo </t>
  </si>
  <si>
    <t>Trung tâm Thông tin (Thuộc ĐĐBQH)</t>
  </si>
  <si>
    <t xml:space="preserve">Đoàn luật sư </t>
  </si>
  <si>
    <t xml:space="preserve">Hỗ trợ TH cải cách TP theo NQ49/BCT </t>
  </si>
  <si>
    <t xml:space="preserve">BVĐ ngày vì người nghèo </t>
  </si>
  <si>
    <t xml:space="preserve">Ban đổi mới DN </t>
  </si>
  <si>
    <t xml:space="preserve">Ban chỉ đạo CCHC </t>
  </si>
  <si>
    <t xml:space="preserve">Hỗ trợ công tác giám định tài chính </t>
  </si>
  <si>
    <t xml:space="preserve">Ban chỉ đạo XĐGN và ATLĐ </t>
  </si>
  <si>
    <t xml:space="preserve">Các tổ chức chính trị </t>
  </si>
  <si>
    <t xml:space="preserve">Tỉnh đoàn </t>
  </si>
  <si>
    <t xml:space="preserve">Hội Liên hiệp Phụ nữ </t>
  </si>
  <si>
    <t xml:space="preserve">Hội Nông Dân </t>
  </si>
  <si>
    <t xml:space="preserve">Hội Cựu Chiến binh </t>
  </si>
  <si>
    <t>Mặt trận tỉnh</t>
  </si>
  <si>
    <t xml:space="preserve">Hội nghề nghiệp </t>
  </si>
  <si>
    <t xml:space="preserve">Liên minh HTX </t>
  </si>
  <si>
    <t xml:space="preserve">Hội Nhà báo </t>
  </si>
  <si>
    <t xml:space="preserve">Liên hiệp các Hội khoa học kỷ thuật </t>
  </si>
  <si>
    <t xml:space="preserve">Hội Liên hiệp văn học nghệ thuật </t>
  </si>
  <si>
    <t xml:space="preserve">Hội Chữ thập đỏ </t>
  </si>
  <si>
    <t xml:space="preserve">Hội người mù </t>
  </si>
  <si>
    <t xml:space="preserve">Hội Đông y </t>
  </si>
  <si>
    <t xml:space="preserve">Hội Luật gia </t>
  </si>
  <si>
    <t xml:space="preserve">Hội khuyến học </t>
  </si>
  <si>
    <t xml:space="preserve">Liên hiệp các Tổ chức hữu nghị </t>
  </si>
  <si>
    <t xml:space="preserve">Hội Cựu TN xung phong </t>
  </si>
  <si>
    <t xml:space="preserve">Hội NN chất độc da cam-Dioxin </t>
  </si>
  <si>
    <t xml:space="preserve">Hội Người Khuyết tật và trẻ em mồ côi </t>
  </si>
  <si>
    <t xml:space="preserve">Hội Liên hiệp thanh niên </t>
  </si>
  <si>
    <t xml:space="preserve">Hội Làm vườn </t>
  </si>
  <si>
    <t xml:space="preserve">Hội Kiến trúc sư </t>
  </si>
  <si>
    <t xml:space="preserve">Hội Kế hoạch hóa gia đình </t>
  </si>
  <si>
    <t xml:space="preserve">Hội Châm cứu </t>
  </si>
  <si>
    <t xml:space="preserve">Hội Sinh vật cảnh </t>
  </si>
  <si>
    <t xml:space="preserve">Hội Tâm năng dưỡng sinh-PHSK </t>
  </si>
  <si>
    <t xml:space="preserve">Hội cựu giáo chức </t>
  </si>
  <si>
    <t xml:space="preserve">Sự nghiệp Xã hội </t>
  </si>
  <si>
    <t xml:space="preserve">Làng trẻ em mồ côi </t>
  </si>
  <si>
    <t xml:space="preserve">TTDN và GTVL người tàn tật </t>
  </si>
  <si>
    <t xml:space="preserve">Trung tâm GD Lao động XH </t>
  </si>
  <si>
    <t xml:space="preserve">Quỹ bảo trợ Trẻ em </t>
  </si>
  <si>
    <t xml:space="preserve">SN dân số KHHGĐ </t>
  </si>
  <si>
    <t xml:space="preserve">Trong đó: CS TE có H/C KK (Quỹ BTTE) </t>
  </si>
  <si>
    <t xml:space="preserve">Chi cho các đối tượng cai ngiện ma túy bắt buộc </t>
  </si>
  <si>
    <t>KP đón hài cốt LS; quà, thăm viếng đối tượng ngày lễ, tết; QL đối tượng theo QĐ 16; PB PL Lao động, hỗ trợ người có công tiêu biểu, điều tra cầu lao động…</t>
  </si>
  <si>
    <t>Điều tra hộ nghèo, cận nghèo</t>
  </si>
  <si>
    <t xml:space="preserve">Các ban kiêm nhiệm </t>
  </si>
  <si>
    <t xml:space="preserve">Ban chỉ đạo xuất khẩu </t>
  </si>
  <si>
    <t xml:space="preserve">Ban công tác phi Chính phủ </t>
  </si>
  <si>
    <t xml:space="preserve">Ban chỉ đạo công nghệ thông tin </t>
  </si>
  <si>
    <t xml:space="preserve">Ban đổi mới và phát triển kinh tế tập thể </t>
  </si>
  <si>
    <t xml:space="preserve">Ban chỉ đạo thực hiện QĐ 162 </t>
  </si>
  <si>
    <t xml:space="preserve">Ban chỉ đạo CTMTQG </t>
  </si>
  <si>
    <t xml:space="preserve">Ban chỉ đạo thực hiện NQ 08 </t>
  </si>
  <si>
    <t xml:space="preserve">Ban phổ biến GDPL </t>
  </si>
  <si>
    <t xml:space="preserve">TT </t>
  </si>
  <si>
    <t xml:space="preserve">HĐ phối hợp liên ngành TGPL trong HĐ tố tụng </t>
  </si>
  <si>
    <t xml:space="preserve">Ban công tác người cao tuổi </t>
  </si>
  <si>
    <t xml:space="preserve">BCĐ thực hiện DA đổi mới giám định tư pháp </t>
  </si>
  <si>
    <t xml:space="preserve">Ban Chỉ đạo 513 </t>
  </si>
  <si>
    <t xml:space="preserve">Ban Chỉ đạo Chương trình PT thanh niên </t>
  </si>
  <si>
    <t xml:space="preserve">Ban chỉ đạo hội nhập quốc tế </t>
  </si>
  <si>
    <t xml:space="preserve">KP Ban chỉ đạo TDĐK trên CS QĐ 794/2012 </t>
  </si>
  <si>
    <t xml:space="preserve">Trường Đại học Hà Tĩnh </t>
  </si>
  <si>
    <t xml:space="preserve">Chi thường xuyên </t>
  </si>
  <si>
    <t xml:space="preserve">Trường Cao đẳng Y tế </t>
  </si>
  <si>
    <t xml:space="preserve">Trường Cao đẳng nghề Việt Đức </t>
  </si>
  <si>
    <t xml:space="preserve">Đào tạo sinh viên Lào  </t>
  </si>
  <si>
    <t xml:space="preserve">Trường Cao đẳng Văn hoá, TT và DL </t>
  </si>
  <si>
    <t xml:space="preserve">Trường Kỷ nghệ </t>
  </si>
  <si>
    <t xml:space="preserve">Trường Trung cấp nghề Hà Tĩnh </t>
  </si>
  <si>
    <t xml:space="preserve">Trường Dạy nghề  Lý Tự Trọng </t>
  </si>
  <si>
    <t xml:space="preserve">Trường Cao đẳng nghề công nghệ HT </t>
  </si>
  <si>
    <t>Trung tâm Dạy nghề, GQVL người TT (trừ ứng 2016)</t>
  </si>
  <si>
    <t xml:space="preserve">Sở Giáo dục và Đào tạo </t>
  </si>
  <si>
    <t xml:space="preserve">Sở Công Thương </t>
  </si>
  <si>
    <t xml:space="preserve">Sở Lao động - Thương binh và xã hội </t>
  </si>
  <si>
    <t xml:space="preserve">TT Huấn luyện ĐT thể thao </t>
  </si>
  <si>
    <t xml:space="preserve">Chi cục QLTT </t>
  </si>
  <si>
    <t xml:space="preserve">Hội Nông dân </t>
  </si>
  <si>
    <t xml:space="preserve">Hội LHPN tỉnh </t>
  </si>
  <si>
    <t xml:space="preserve">Tỉnh đoàn  </t>
  </si>
  <si>
    <t xml:space="preserve">Sở Nội vụ </t>
  </si>
  <si>
    <t xml:space="preserve">Sở Kế hoạch và Đầu tư </t>
  </si>
  <si>
    <t xml:space="preserve">Sở Tư pháp ( ĐT nghiệp vụ tư pháp toàn tỉnh) </t>
  </si>
  <si>
    <t xml:space="preserve">Sở Nông nghiệp và PTNT </t>
  </si>
  <si>
    <t xml:space="preserve">Sở Thông tin và TT </t>
  </si>
  <si>
    <t xml:space="preserve">Sở Văn hóa, Thể thao và Du lịch </t>
  </si>
  <si>
    <t xml:space="preserve">Sở Tài nguyên và MôI trường </t>
  </si>
  <si>
    <t>Ban quản lý KKT  tỉnh</t>
  </si>
  <si>
    <t xml:space="preserve">TT Dịch vụ Tài chính công (TH KT xã, luật NSNN, NĐ 16...) </t>
  </si>
  <si>
    <t>UBND tỉnh (TT Công báo tin học)</t>
  </si>
  <si>
    <t xml:space="preserve">Đài Phát thanh - Truyền hình </t>
  </si>
  <si>
    <t xml:space="preserve">Liên minh Hợp tác xã </t>
  </si>
  <si>
    <t xml:space="preserve">UB Mặt trận tổ quốc tỉnh </t>
  </si>
  <si>
    <t xml:space="preserve">Hội Liên hiệp Văn học nghệ thuật </t>
  </si>
  <si>
    <t xml:space="preserve">Hội Người mù </t>
  </si>
  <si>
    <t xml:space="preserve">Trường quân sự tỉnh </t>
  </si>
  <si>
    <t xml:space="preserve">Đảng ủy khối dân chính Đảng </t>
  </si>
  <si>
    <t xml:space="preserve">Đảng ủy khối Doanh nghiệp </t>
  </si>
  <si>
    <t xml:space="preserve">Trung tâm Thông tin công tác tư tưởng </t>
  </si>
  <si>
    <t>Chi cục Dân số/KHH gia đình</t>
  </si>
  <si>
    <t>Văn phòng HĐND tỉnh</t>
  </si>
  <si>
    <t>TT hỗ trợ phát triển DN và Xúc tiến ĐT</t>
  </si>
  <si>
    <t>Chính sách thu hút, ĐTBD nguồn nhân lực</t>
  </si>
  <si>
    <t xml:space="preserve">Đào tạo, tập huấn cho doanh nghiệp, HTX </t>
  </si>
  <si>
    <t>Bổ sung đào tạo sinh viên Lào</t>
  </si>
  <si>
    <t xml:space="preserve">Chưa phân bổ </t>
  </si>
  <si>
    <t xml:space="preserve">ĐH </t>
  </si>
  <si>
    <t xml:space="preserve">CĐ </t>
  </si>
  <si>
    <t xml:space="preserve">TC </t>
  </si>
  <si>
    <t xml:space="preserve">SC </t>
  </si>
  <si>
    <t>Đào tạo HS Lào</t>
  </si>
  <si>
    <t xml:space="preserve">Dự toán giao 2017 </t>
  </si>
  <si>
    <t xml:space="preserve">Thu sự nghiệp 2017 </t>
  </si>
  <si>
    <t xml:space="preserve"> Kinh phí đào tạo </t>
  </si>
  <si>
    <t>Bổ sung từ 30 biên chế trở xuống</t>
  </si>
  <si>
    <t xml:space="preserve"> - Chi từ nguồn thu SN để CC tiền lương tại đơn vị</t>
  </si>
  <si>
    <t>PHỤ LỤC
THỰC HIỆN CHI NGÂN SÁCH ĐỊA PHƯƠNG NĂM 2016</t>
  </si>
  <si>
    <t>(Kèm theo Báo cáo số 459/BC-UBND ngày  10/12/2016 của UBND tỉnh)</t>
  </si>
  <si>
    <t>(Ban hành kèm theo Báo cáo số  459/BC-UBND ngày  10/12/2016 của UBND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</si>
</sst>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4" x14ac:knownFonts="1">
    <font>
      <sz val="12"/>
      <name val="Times New Roman"/>
    </font>
    <font>
      <sz val="12"/>
      <name val="Times New Roman"/>
      <family val="1"/>
    </font>
    <font>
      <sz val="8"/>
      <name val="Times New Roman"/>
      <family val="1"/>
    </font>
    <font>
      <b/>
      <sz val="13"/>
      <name val="Times New Roman"/>
      <family val="1"/>
    </font>
    <font>
      <sz val="12"/>
      <name val="Times New Roman"/>
      <family val="1"/>
    </font>
    <font>
      <b/>
      <sz val="14"/>
      <name val="Times New Roman"/>
      <family val="1"/>
    </font>
    <font>
      <i/>
      <sz val="12"/>
      <name val="Times New Roman"/>
      <family val="1"/>
    </font>
    <font>
      <b/>
      <sz val="11"/>
      <name val="Times New Roman"/>
      <family val="1"/>
    </font>
    <font>
      <sz val="11"/>
      <name val="Times New Roman"/>
      <family val="1"/>
    </font>
    <font>
      <sz val="10"/>
      <name val="Arial"/>
      <family val="2"/>
    </font>
    <font>
      <i/>
      <sz val="13"/>
      <name val="Times New Roman"/>
      <family val="1"/>
    </font>
    <font>
      <b/>
      <sz val="12"/>
      <name val="Times New Roman"/>
      <family val="1"/>
    </font>
    <font>
      <b/>
      <i/>
      <sz val="12"/>
      <name val="Times New Roman"/>
      <family val="1"/>
    </font>
    <font>
      <sz val="10"/>
      <name val="Times New Roman"/>
      <family val="1"/>
    </font>
    <font>
      <i/>
      <sz val="10"/>
      <name val="Times New Roman"/>
      <family val="1"/>
    </font>
    <font>
      <b/>
      <i/>
      <sz val="11"/>
      <name val="Times New Roman"/>
      <family val="1"/>
    </font>
    <font>
      <i/>
      <sz val="11"/>
      <name val="Times New Roman"/>
      <family val="1"/>
    </font>
    <font>
      <sz val="16"/>
      <name val="Times New Roman"/>
      <family val="1"/>
    </font>
    <font>
      <i/>
      <sz val="10"/>
      <name val="Arial"/>
      <family val="2"/>
    </font>
    <font>
      <b/>
      <sz val="10"/>
      <name val="Arial"/>
      <family val="2"/>
    </font>
    <font>
      <sz val="11"/>
      <color rgb="FFFF0000"/>
      <name val="Times New Roman"/>
      <family val="1"/>
    </font>
    <font>
      <sz val="10"/>
      <color rgb="FFFF0000"/>
      <name val="Arial"/>
      <family val="2"/>
    </font>
    <font>
      <i/>
      <sz val="11"/>
      <color rgb="FFFF0000"/>
      <name val="Times New Roman"/>
      <family val="1"/>
    </font>
    <font>
      <b/>
      <sz val="12"/>
      <color theme="1"/>
      <name val="Times New Roman"/>
      <family val="1"/>
    </font>
    <font>
      <sz val="12"/>
      <color theme="1"/>
      <name val="Times New Roman"/>
      <family val="1"/>
    </font>
    <font>
      <i/>
      <sz val="12"/>
      <color theme="1"/>
      <name val="Times New Roman"/>
      <family val="1"/>
    </font>
    <font>
      <sz val="13"/>
      <name val="Times New Roman"/>
      <family val="1"/>
    </font>
    <font>
      <b/>
      <sz val="10"/>
      <name val="Times New Roman"/>
      <family val="1"/>
    </font>
    <font>
      <b/>
      <u/>
      <sz val="10"/>
      <name val="Times New Roman"/>
      <family val="1"/>
    </font>
    <font>
      <b/>
      <u/>
      <sz val="12"/>
      <name val="Times New Roman"/>
      <family val="1"/>
    </font>
    <font>
      <sz val="11"/>
      <color indexed="8"/>
      <name val="Calibri"/>
      <family val="2"/>
    </font>
    <font>
      <sz val="12"/>
      <name val=".VnTime"/>
      <family val="2"/>
    </font>
    <font>
      <b/>
      <sz val="14"/>
      <color theme="1"/>
      <name val="Times New Roman"/>
      <family val="1"/>
    </font>
    <font>
      <b/>
      <i/>
      <sz val="13"/>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18">
    <xf numFmtId="0" fontId="0" fillId="0" borderId="0"/>
    <xf numFmtId="43" fontId="1" fillId="0" borderId="0" applyFont="0" applyFill="0" applyBorder="0" applyAlignment="0" applyProtection="0"/>
    <xf numFmtId="3" fontId="4" fillId="0" borderId="0">
      <alignment vertical="center" wrapText="1"/>
    </xf>
    <xf numFmtId="3" fontId="4" fillId="0" borderId="0">
      <alignment vertical="center" wrapText="1"/>
    </xf>
    <xf numFmtId="9" fontId="1" fillId="0" borderId="0" applyFont="0" applyFill="0" applyBorder="0" applyAlignment="0" applyProtection="0"/>
    <xf numFmtId="3" fontId="1" fillId="0" borderId="0">
      <alignment vertical="center" wrapText="1"/>
    </xf>
    <xf numFmtId="1" fontId="1" fillId="0" borderId="0">
      <alignment vertical="center" wrapText="1"/>
    </xf>
    <xf numFmtId="0" fontId="9" fillId="0" borderId="0"/>
    <xf numFmtId="0" fontId="9" fillId="0" borderId="0"/>
    <xf numFmtId="43" fontId="30" fillId="0" borderId="0" applyFont="0" applyFill="0" applyBorder="0" applyAlignment="0" applyProtection="0"/>
    <xf numFmtId="0" fontId="9"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0" fontId="31" fillId="0" borderId="0" applyFont="0" applyFill="0" applyBorder="0" applyAlignment="0" applyProtection="0"/>
    <xf numFmtId="43" fontId="30" fillId="0" borderId="0" applyFont="0" applyFill="0" applyBorder="0" applyAlignment="0" applyProtection="0"/>
    <xf numFmtId="0" fontId="30" fillId="0" borderId="0"/>
    <xf numFmtId="0" fontId="9" fillId="0" borderId="0"/>
    <xf numFmtId="0" fontId="9" fillId="0" borderId="0"/>
  </cellStyleXfs>
  <cellXfs count="285">
    <xf numFmtId="0" fontId="0" fillId="0" borderId="0" xfId="0"/>
    <xf numFmtId="3" fontId="8" fillId="2" borderId="1" xfId="0" applyNumberFormat="1" applyFont="1" applyFill="1" applyBorder="1"/>
    <xf numFmtId="3" fontId="7" fillId="2" borderId="1" xfId="0" applyNumberFormat="1" applyFont="1" applyFill="1" applyBorder="1"/>
    <xf numFmtId="3" fontId="1" fillId="2" borderId="1" xfId="4" applyNumberFormat="1" applyFont="1" applyFill="1" applyBorder="1" applyAlignment="1">
      <alignment horizontal="right" wrapText="1"/>
    </xf>
    <xf numFmtId="3" fontId="8" fillId="2" borderId="1" xfId="0" applyNumberFormat="1" applyFont="1" applyFill="1" applyBorder="1" applyAlignment="1">
      <alignment wrapText="1"/>
    </xf>
    <xf numFmtId="3" fontId="1" fillId="2" borderId="0" xfId="0" applyNumberFormat="1" applyFont="1" applyFill="1" applyBorder="1"/>
    <xf numFmtId="3" fontId="12" fillId="2" borderId="0" xfId="0" applyNumberFormat="1" applyFont="1" applyFill="1" applyBorder="1"/>
    <xf numFmtId="3" fontId="11" fillId="2" borderId="5"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9" fontId="1" fillId="2" borderId="1" xfId="4" applyFont="1" applyFill="1" applyBorder="1" applyAlignment="1">
      <alignment horizontal="right" wrapText="1"/>
    </xf>
    <xf numFmtId="3" fontId="1" fillId="2" borderId="1" xfId="0" applyNumberFormat="1" applyFont="1" applyFill="1" applyBorder="1" applyAlignment="1">
      <alignment horizontal="right" wrapText="1"/>
    </xf>
    <xf numFmtId="9" fontId="6" fillId="2" borderId="1" xfId="4" applyFont="1" applyFill="1" applyBorder="1" applyAlignment="1">
      <alignment horizontal="right" wrapText="1"/>
    </xf>
    <xf numFmtId="9" fontId="11" fillId="2" borderId="1" xfId="4" applyFont="1" applyFill="1" applyBorder="1" applyAlignment="1">
      <alignment horizontal="right" wrapText="1"/>
    </xf>
    <xf numFmtId="3" fontId="6" fillId="2" borderId="2" xfId="0" applyNumberFormat="1" applyFont="1" applyFill="1" applyBorder="1" applyAlignment="1"/>
    <xf numFmtId="3" fontId="17" fillId="2" borderId="0" xfId="0" applyNumberFormat="1" applyFont="1" applyFill="1" applyBorder="1"/>
    <xf numFmtId="3" fontId="17" fillId="2" borderId="3" xfId="0" applyNumberFormat="1" applyFont="1" applyFill="1" applyBorder="1"/>
    <xf numFmtId="3" fontId="17" fillId="2" borderId="4" xfId="0" applyNumberFormat="1" applyFont="1" applyFill="1" applyBorder="1"/>
    <xf numFmtId="3" fontId="11" fillId="2" borderId="0" xfId="0" applyNumberFormat="1" applyFont="1" applyFill="1" applyAlignment="1">
      <alignment wrapText="1"/>
    </xf>
    <xf numFmtId="3" fontId="11" fillId="2" borderId="0" xfId="0" applyNumberFormat="1" applyFont="1" applyFill="1" applyBorder="1" applyAlignment="1">
      <alignment horizontal="center" wrapText="1"/>
    </xf>
    <xf numFmtId="3" fontId="1" fillId="2" borderId="0" xfId="0" applyNumberFormat="1" applyFont="1" applyFill="1" applyBorder="1" applyAlignment="1">
      <alignment wrapText="1"/>
    </xf>
    <xf numFmtId="0" fontId="9" fillId="2" borderId="0" xfId="0" applyFont="1" applyFill="1"/>
    <xf numFmtId="3" fontId="7" fillId="2" borderId="6" xfId="0" applyNumberFormat="1" applyFont="1" applyFill="1" applyBorder="1"/>
    <xf numFmtId="3" fontId="16" fillId="2" borderId="1" xfId="0" applyNumberFormat="1" applyFont="1" applyFill="1" applyBorder="1"/>
    <xf numFmtId="3" fontId="15" fillId="2" borderId="1" xfId="0" applyNumberFormat="1" applyFont="1" applyFill="1" applyBorder="1"/>
    <xf numFmtId="3" fontId="7" fillId="2" borderId="1" xfId="0" applyNumberFormat="1" applyFont="1" applyFill="1" applyBorder="1" applyAlignment="1">
      <alignment wrapText="1"/>
    </xf>
    <xf numFmtId="3" fontId="8" fillId="2" borderId="1" xfId="0" applyNumberFormat="1" applyFont="1" applyFill="1" applyBorder="1" applyAlignment="1">
      <alignment horizontal="center"/>
    </xf>
    <xf numFmtId="0" fontId="9" fillId="2" borderId="0" xfId="0" applyFont="1" applyFill="1" applyBorder="1" applyAlignment="1">
      <alignment wrapText="1"/>
    </xf>
    <xf numFmtId="0" fontId="9" fillId="2" borderId="0" xfId="0" applyFont="1" applyFill="1" applyBorder="1"/>
    <xf numFmtId="3" fontId="8" fillId="2" borderId="1" xfId="0" applyNumberFormat="1" applyFont="1" applyFill="1" applyBorder="1" applyAlignment="1">
      <alignment horizontal="left" wrapText="1"/>
    </xf>
    <xf numFmtId="3" fontId="8" fillId="2" borderId="1" xfId="0" applyNumberFormat="1" applyFont="1" applyFill="1" applyBorder="1" applyAlignment="1">
      <alignment horizontal="right" wrapText="1"/>
    </xf>
    <xf numFmtId="3" fontId="16" fillId="2" borderId="1" xfId="0" applyNumberFormat="1" applyFont="1" applyFill="1" applyBorder="1" applyAlignment="1">
      <alignment horizontal="right" wrapText="1"/>
    </xf>
    <xf numFmtId="0" fontId="8" fillId="2" borderId="1" xfId="0" applyFont="1" applyFill="1" applyBorder="1" applyAlignment="1">
      <alignment horizontal="left" wrapText="1"/>
    </xf>
    <xf numFmtId="3" fontId="16" fillId="2" borderId="1" xfId="0" applyNumberFormat="1" applyFont="1" applyFill="1" applyBorder="1" applyAlignment="1">
      <alignment wrapText="1"/>
    </xf>
    <xf numFmtId="3" fontId="9" fillId="2" borderId="0" xfId="0" applyNumberFormat="1" applyFont="1" applyFill="1" applyBorder="1"/>
    <xf numFmtId="0" fontId="10" fillId="2" borderId="0" xfId="0" applyFont="1" applyFill="1" applyAlignment="1">
      <alignment horizontal="center" wrapText="1"/>
    </xf>
    <xf numFmtId="0" fontId="10" fillId="2" borderId="0" xfId="0" applyFont="1" applyFill="1" applyAlignment="1">
      <alignment horizontal="center"/>
    </xf>
    <xf numFmtId="3" fontId="7" fillId="2" borderId="1" xfId="0" applyNumberFormat="1" applyFont="1" applyFill="1" applyBorder="1" applyAlignment="1">
      <alignment horizontal="center"/>
    </xf>
    <xf numFmtId="3" fontId="7" fillId="2" borderId="6" xfId="0" applyNumberFormat="1" applyFont="1" applyFill="1" applyBorder="1" applyAlignment="1">
      <alignment horizontal="center"/>
    </xf>
    <xf numFmtId="3" fontId="7" fillId="2" borderId="6" xfId="0" applyNumberFormat="1" applyFont="1" applyFill="1" applyBorder="1" applyAlignment="1">
      <alignment wrapText="1"/>
    </xf>
    <xf numFmtId="3" fontId="16" fillId="2" borderId="1" xfId="0" applyNumberFormat="1" applyFont="1" applyFill="1" applyBorder="1" applyAlignment="1">
      <alignment horizontal="center"/>
    </xf>
    <xf numFmtId="0" fontId="18" fillId="2" borderId="0" xfId="0" applyFont="1" applyFill="1" applyBorder="1"/>
    <xf numFmtId="0" fontId="19" fillId="2" borderId="0" xfId="0" applyFont="1" applyFill="1" applyBorder="1"/>
    <xf numFmtId="3" fontId="15" fillId="2" borderId="1" xfId="0" applyNumberFormat="1" applyFont="1" applyFill="1" applyBorder="1" applyAlignment="1">
      <alignment wrapText="1"/>
    </xf>
    <xf numFmtId="3"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wrapText="1"/>
    </xf>
    <xf numFmtId="4" fontId="8" fillId="2" borderId="1" xfId="0" applyNumberFormat="1" applyFont="1" applyFill="1" applyBorder="1" applyAlignment="1">
      <alignment horizontal="center"/>
    </xf>
    <xf numFmtId="0" fontId="7" fillId="2" borderId="1" xfId="0" applyNumberFormat="1" applyFont="1" applyFill="1" applyBorder="1" applyAlignment="1">
      <alignment horizontal="center"/>
    </xf>
    <xf numFmtId="0" fontId="8" fillId="2" borderId="1" xfId="0" applyNumberFormat="1" applyFont="1" applyFill="1" applyBorder="1" applyAlignment="1">
      <alignment horizontal="center"/>
    </xf>
    <xf numFmtId="3" fontId="8" fillId="2" borderId="1" xfId="0" applyNumberFormat="1" applyFont="1" applyFill="1" applyBorder="1" applyAlignment="1">
      <alignment horizontal="left" wrapText="1" shrinkToFit="1"/>
    </xf>
    <xf numFmtId="0" fontId="13" fillId="2" borderId="0" xfId="0" applyFont="1" applyFill="1" applyBorder="1" applyAlignment="1">
      <alignment wrapText="1"/>
    </xf>
    <xf numFmtId="0" fontId="13" fillId="2" borderId="0" xfId="0" applyFont="1" applyFill="1" applyBorder="1"/>
    <xf numFmtId="4" fontId="8" fillId="2" borderId="1" xfId="0" applyNumberFormat="1" applyFont="1" applyFill="1" applyBorder="1" applyAlignment="1">
      <alignment horizontal="center" wrapText="1"/>
    </xf>
    <xf numFmtId="4" fontId="16" fillId="2" borderId="1" xfId="0" applyNumberFormat="1" applyFont="1" applyFill="1" applyBorder="1" applyAlignment="1">
      <alignment horizontal="center"/>
    </xf>
    <xf numFmtId="0" fontId="14" fillId="2" borderId="0" xfId="0" applyFont="1" applyFill="1" applyBorder="1" applyAlignment="1">
      <alignment wrapText="1"/>
    </xf>
    <xf numFmtId="0" fontId="14" fillId="2" borderId="0" xfId="0" applyFont="1" applyFill="1" applyBorder="1"/>
    <xf numFmtId="4" fontId="16" fillId="2" borderId="1" xfId="0" applyNumberFormat="1" applyFont="1" applyFill="1" applyBorder="1" applyAlignment="1">
      <alignment horizontal="center" wrapText="1"/>
    </xf>
    <xf numFmtId="0" fontId="8" fillId="2" borderId="1" xfId="0" applyFont="1" applyFill="1" applyBorder="1" applyAlignment="1">
      <alignment horizontal="justify" wrapText="1"/>
    </xf>
    <xf numFmtId="3" fontId="1" fillId="2" borderId="0" xfId="0" applyNumberFormat="1" applyFont="1" applyFill="1" applyBorder="1" applyAlignment="1">
      <alignment horizontal="center"/>
    </xf>
    <xf numFmtId="0" fontId="13" fillId="2" borderId="0" xfId="0" applyFont="1" applyFill="1" applyAlignment="1">
      <alignment horizontal="center"/>
    </xf>
    <xf numFmtId="3" fontId="7" fillId="2" borderId="1" xfId="0" applyNumberFormat="1" applyFont="1" applyFill="1" applyBorder="1" applyAlignment="1">
      <alignment horizontal="center" wrapText="1"/>
    </xf>
    <xf numFmtId="3" fontId="7" fillId="2" borderId="1" xfId="0" applyNumberFormat="1" applyFont="1" applyFill="1" applyBorder="1" applyAlignment="1">
      <alignment horizontal="right" wrapText="1"/>
    </xf>
    <xf numFmtId="3" fontId="13" fillId="2" borderId="0" xfId="0" applyNumberFormat="1" applyFont="1" applyFill="1" applyBorder="1" applyAlignment="1">
      <alignment horizontal="center"/>
    </xf>
    <xf numFmtId="3" fontId="11" fillId="2" borderId="1" xfId="0" applyNumberFormat="1" applyFont="1" applyFill="1" applyBorder="1" applyAlignment="1">
      <alignment horizontal="left" wrapText="1"/>
    </xf>
    <xf numFmtId="3" fontId="11" fillId="2" borderId="1" xfId="0" applyNumberFormat="1" applyFont="1" applyFill="1" applyBorder="1" applyAlignment="1">
      <alignment wrapText="1"/>
    </xf>
    <xf numFmtId="3" fontId="11" fillId="2" borderId="1" xfId="4" applyNumberFormat="1" applyFont="1" applyFill="1" applyBorder="1" applyAlignment="1">
      <alignment horizontal="right" wrapText="1"/>
    </xf>
    <xf numFmtId="3" fontId="10" fillId="2" borderId="0" xfId="0" applyNumberFormat="1" applyFont="1" applyFill="1" applyAlignment="1">
      <alignment horizontal="center" vertical="center" wrapText="1"/>
    </xf>
    <xf numFmtId="0" fontId="9" fillId="0" borderId="0" xfId="0" applyFont="1" applyFill="1" applyBorder="1"/>
    <xf numFmtId="3" fontId="8" fillId="0" borderId="1" xfId="0" applyNumberFormat="1" applyFont="1" applyFill="1" applyBorder="1" applyAlignment="1">
      <alignment wrapText="1"/>
    </xf>
    <xf numFmtId="3" fontId="20" fillId="2" borderId="1" xfId="0" applyNumberFormat="1" applyFont="1" applyFill="1" applyBorder="1"/>
    <xf numFmtId="3" fontId="20" fillId="2" borderId="1" xfId="0" applyNumberFormat="1" applyFont="1" applyFill="1" applyBorder="1" applyAlignment="1">
      <alignment horizontal="center"/>
    </xf>
    <xf numFmtId="0" fontId="21" fillId="2" borderId="0" xfId="0" applyFont="1" applyFill="1" applyBorder="1"/>
    <xf numFmtId="3" fontId="8" fillId="0" borderId="1" xfId="0" applyNumberFormat="1" applyFont="1" applyFill="1" applyBorder="1"/>
    <xf numFmtId="3" fontId="22" fillId="2" borderId="1" xfId="0" applyNumberFormat="1" applyFont="1" applyFill="1" applyBorder="1"/>
    <xf numFmtId="0" fontId="10"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3" fontId="8" fillId="2" borderId="6" xfId="0" applyNumberFormat="1" applyFont="1" applyFill="1" applyBorder="1" applyAlignment="1">
      <alignment horizontal="center"/>
    </xf>
    <xf numFmtId="3" fontId="8" fillId="2" borderId="6" xfId="0" applyNumberFormat="1" applyFont="1" applyFill="1" applyBorder="1" applyAlignment="1">
      <alignment wrapText="1"/>
    </xf>
    <xf numFmtId="0" fontId="10"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3" fontId="6" fillId="2" borderId="1" xfId="4" applyNumberFormat="1" applyFont="1" applyFill="1" applyBorder="1" applyAlignment="1">
      <alignment horizontal="right" wrapText="1"/>
    </xf>
    <xf numFmtId="3" fontId="24" fillId="0" borderId="0" xfId="0" applyNumberFormat="1" applyFont="1" applyAlignment="1">
      <alignment vertical="center"/>
    </xf>
    <xf numFmtId="3" fontId="24" fillId="0" borderId="0" xfId="0" applyNumberFormat="1" applyFont="1" applyAlignment="1">
      <alignment horizontal="center" vertical="center"/>
    </xf>
    <xf numFmtId="3" fontId="1" fillId="0" borderId="0" xfId="2" applyFont="1">
      <alignment vertical="center" wrapText="1"/>
    </xf>
    <xf numFmtId="3" fontId="1" fillId="0" borderId="0" xfId="2" applyNumberFormat="1" applyFont="1">
      <alignment vertical="center" wrapText="1"/>
    </xf>
    <xf numFmtId="3" fontId="13" fillId="0" borderId="0" xfId="2" applyFont="1">
      <alignment vertical="center" wrapText="1"/>
    </xf>
    <xf numFmtId="3" fontId="23" fillId="0" borderId="1" xfId="0" applyNumberFormat="1" applyFont="1" applyBorder="1" applyAlignment="1">
      <alignment horizontal="center" vertical="center" wrapText="1"/>
    </xf>
    <xf numFmtId="1" fontId="10" fillId="0" borderId="0" xfId="3" applyNumberFormat="1" applyFont="1" applyAlignment="1">
      <alignment vertical="center"/>
    </xf>
    <xf numFmtId="1" fontId="5" fillId="0" borderId="0" xfId="2" applyNumberFormat="1" applyFont="1" applyAlignment="1">
      <alignment horizontal="center" vertical="center"/>
    </xf>
    <xf numFmtId="164" fontId="23" fillId="0" borderId="0" xfId="1" applyNumberFormat="1" applyFont="1" applyAlignment="1"/>
    <xf numFmtId="3" fontId="27" fillId="0" borderId="1" xfId="2" applyNumberFormat="1" applyFont="1" applyBorder="1" applyAlignment="1">
      <alignment horizontal="center" vertical="center" wrapText="1"/>
    </xf>
    <xf numFmtId="3" fontId="27" fillId="0" borderId="1" xfId="2" applyFont="1" applyBorder="1" applyAlignment="1">
      <alignment horizontal="center" vertical="center" wrapText="1"/>
    </xf>
    <xf numFmtId="3" fontId="9" fillId="2" borderId="0" xfId="0" applyNumberFormat="1" applyFont="1" applyFill="1"/>
    <xf numFmtId="3" fontId="2" fillId="0" borderId="0" xfId="2" applyFont="1">
      <alignment vertical="center" wrapText="1"/>
    </xf>
    <xf numFmtId="3" fontId="11" fillId="2" borderId="0" xfId="0" applyNumberFormat="1" applyFont="1" applyFill="1" applyBorder="1" applyAlignment="1">
      <alignment horizontal="left" wrapText="1"/>
    </xf>
    <xf numFmtId="3" fontId="1" fillId="2" borderId="1" xfId="0" applyNumberFormat="1" applyFont="1" applyFill="1" applyBorder="1" applyAlignment="1">
      <alignment horizontal="left" wrapText="1"/>
    </xf>
    <xf numFmtId="3" fontId="1" fillId="2" borderId="0" xfId="0" applyNumberFormat="1" applyFont="1" applyFill="1" applyBorder="1" applyAlignment="1">
      <alignment horizontal="left" wrapText="1"/>
    </xf>
    <xf numFmtId="3" fontId="1" fillId="2" borderId="1" xfId="0" applyNumberFormat="1" applyFont="1" applyFill="1" applyBorder="1" applyAlignment="1">
      <alignment wrapText="1"/>
    </xf>
    <xf numFmtId="3" fontId="1" fillId="2" borderId="1" xfId="4" applyNumberFormat="1" applyFont="1" applyFill="1" applyBorder="1" applyAlignment="1">
      <alignment wrapText="1"/>
    </xf>
    <xf numFmtId="3" fontId="1" fillId="2" borderId="0" xfId="0" applyNumberFormat="1" applyFont="1" applyFill="1" applyBorder="1" applyAlignment="1">
      <alignment horizontal="center" wrapText="1"/>
    </xf>
    <xf numFmtId="3" fontId="6" fillId="2" borderId="1" xfId="0" applyNumberFormat="1" applyFont="1" applyFill="1" applyBorder="1" applyAlignment="1">
      <alignment horizontal="left" wrapText="1"/>
    </xf>
    <xf numFmtId="3" fontId="6" fillId="2" borderId="1" xfId="0" applyNumberFormat="1" applyFont="1" applyFill="1" applyBorder="1" applyAlignment="1">
      <alignment horizontal="right" wrapText="1"/>
    </xf>
    <xf numFmtId="3" fontId="6" fillId="2" borderId="0" xfId="0" applyNumberFormat="1" applyFont="1" applyFill="1" applyBorder="1" applyAlignment="1">
      <alignment horizontal="center" wrapText="1"/>
    </xf>
    <xf numFmtId="3" fontId="1" fillId="2" borderId="1" xfId="0" applyNumberFormat="1" applyFont="1" applyFill="1" applyBorder="1" applyAlignment="1">
      <alignment horizontal="center" wrapText="1"/>
    </xf>
    <xf numFmtId="0" fontId="11" fillId="2" borderId="1" xfId="0" applyFont="1" applyFill="1" applyBorder="1" applyAlignment="1">
      <alignment horizontal="left" wrapText="1"/>
    </xf>
    <xf numFmtId="0" fontId="11" fillId="2" borderId="0" xfId="0" applyFont="1" applyFill="1" applyAlignment="1">
      <alignment wrapText="1"/>
    </xf>
    <xf numFmtId="0" fontId="1" fillId="2" borderId="1" xfId="0" applyFont="1" applyFill="1" applyBorder="1" applyAlignment="1">
      <alignment wrapText="1"/>
    </xf>
    <xf numFmtId="0" fontId="1" fillId="2" borderId="0" xfId="0" applyFont="1" applyFill="1" applyAlignment="1">
      <alignment wrapText="1"/>
    </xf>
    <xf numFmtId="0" fontId="11" fillId="2" borderId="1" xfId="0" applyFont="1" applyFill="1" applyBorder="1" applyAlignment="1">
      <alignment wrapText="1"/>
    </xf>
    <xf numFmtId="0" fontId="6" fillId="2" borderId="1" xfId="0" applyFont="1" applyFill="1" applyBorder="1" applyAlignment="1">
      <alignment wrapText="1"/>
    </xf>
    <xf numFmtId="3" fontId="6" fillId="2" borderId="1" xfId="0" applyNumberFormat="1" applyFont="1" applyFill="1" applyBorder="1" applyAlignment="1">
      <alignment wrapText="1"/>
    </xf>
    <xf numFmtId="0" fontId="1" fillId="2" borderId="0" xfId="0" applyFont="1" applyFill="1" applyBorder="1" applyAlignment="1">
      <alignment wrapText="1"/>
    </xf>
    <xf numFmtId="3" fontId="11" fillId="2" borderId="0" xfId="0" applyNumberFormat="1" applyFont="1" applyFill="1" applyBorder="1" applyAlignment="1">
      <alignment wrapText="1"/>
    </xf>
    <xf numFmtId="3" fontId="11" fillId="2" borderId="1" xfId="4" applyNumberFormat="1" applyFont="1" applyFill="1" applyBorder="1" applyAlignment="1">
      <alignment wrapText="1"/>
    </xf>
    <xf numFmtId="3" fontId="11" fillId="2" borderId="1" xfId="0" applyNumberFormat="1" applyFont="1" applyFill="1" applyBorder="1" applyAlignment="1">
      <alignment horizontal="right" wrapText="1"/>
    </xf>
    <xf numFmtId="3" fontId="11" fillId="2" borderId="1" xfId="0" applyNumberFormat="1" applyFont="1" applyFill="1" applyBorder="1" applyAlignment="1">
      <alignment horizontal="center" wrapText="1"/>
    </xf>
    <xf numFmtId="3" fontId="17" fillId="2" borderId="0" xfId="0" applyNumberFormat="1" applyFont="1" applyFill="1" applyBorder="1" applyAlignment="1">
      <alignment wrapText="1"/>
    </xf>
    <xf numFmtId="3" fontId="5" fillId="2" borderId="0" xfId="0" applyNumberFormat="1" applyFont="1" applyFill="1" applyBorder="1" applyAlignment="1">
      <alignment wrapText="1"/>
    </xf>
    <xf numFmtId="0" fontId="9" fillId="2" borderId="0" xfId="0" applyFont="1" applyFill="1" applyAlignment="1">
      <alignment wrapText="1"/>
    </xf>
    <xf numFmtId="3" fontId="24" fillId="0" borderId="0" xfId="0" applyNumberFormat="1" applyFont="1" applyAlignment="1">
      <alignment wrapText="1"/>
    </xf>
    <xf numFmtId="3" fontId="23" fillId="0" borderId="0" xfId="0" applyNumberFormat="1" applyFont="1" applyAlignment="1">
      <alignment vertical="center" wrapText="1"/>
    </xf>
    <xf numFmtId="3" fontId="24" fillId="0" borderId="1" xfId="0" applyNumberFormat="1" applyFont="1" applyBorder="1" applyAlignment="1">
      <alignment horizontal="center" wrapText="1"/>
    </xf>
    <xf numFmtId="3" fontId="23" fillId="0" borderId="1" xfId="0" applyNumberFormat="1" applyFont="1" applyBorder="1" applyAlignment="1">
      <alignment wrapText="1"/>
    </xf>
    <xf numFmtId="3" fontId="24" fillId="0" borderId="1" xfId="0" applyNumberFormat="1" applyFont="1" applyBorder="1" applyAlignment="1">
      <alignment wrapText="1"/>
    </xf>
    <xf numFmtId="3" fontId="23" fillId="0" borderId="1" xfId="0" applyNumberFormat="1" applyFont="1" applyBorder="1" applyAlignment="1">
      <alignment horizontal="center" wrapText="1"/>
    </xf>
    <xf numFmtId="0" fontId="7" fillId="2" borderId="5" xfId="0" applyFont="1" applyFill="1" applyBorder="1" applyAlignment="1">
      <alignment horizontal="center" vertical="center" wrapText="1"/>
    </xf>
    <xf numFmtId="3" fontId="7" fillId="0" borderId="1" xfId="2" applyFont="1" applyBorder="1" applyAlignment="1">
      <alignment horizontal="center" vertical="center" wrapText="1"/>
    </xf>
    <xf numFmtId="0" fontId="10" fillId="2" borderId="0" xfId="0" applyFont="1" applyFill="1" applyAlignment="1">
      <alignment horizontal="right" wrapText="1"/>
    </xf>
    <xf numFmtId="0" fontId="7" fillId="0" borderId="1" xfId="0" applyFont="1" applyFill="1" applyBorder="1" applyAlignment="1">
      <alignment horizontal="center" vertical="center" wrapText="1"/>
    </xf>
    <xf numFmtId="0" fontId="27" fillId="2" borderId="1" xfId="0" applyFont="1" applyFill="1" applyBorder="1" applyAlignment="1">
      <alignment horizontal="center" wrapText="1"/>
    </xf>
    <xf numFmtId="3" fontId="28" fillId="2" borderId="1" xfId="0" applyNumberFormat="1" applyFont="1" applyFill="1" applyBorder="1" applyAlignment="1">
      <alignment horizontal="center" wrapText="1"/>
    </xf>
    <xf numFmtId="3" fontId="28" fillId="2" borderId="1" xfId="0" applyNumberFormat="1" applyFont="1" applyFill="1" applyBorder="1" applyAlignment="1">
      <alignment horizontal="right" wrapText="1"/>
    </xf>
    <xf numFmtId="3" fontId="13" fillId="2" borderId="1" xfId="0" applyNumberFormat="1" applyFont="1" applyFill="1" applyBorder="1" applyAlignment="1">
      <alignment horizontal="center" wrapText="1"/>
    </xf>
    <xf numFmtId="3" fontId="13" fillId="2" borderId="1" xfId="0" applyNumberFormat="1" applyFont="1" applyFill="1" applyBorder="1" applyAlignment="1">
      <alignment wrapText="1"/>
    </xf>
    <xf numFmtId="9" fontId="13" fillId="2" borderId="1" xfId="4" applyFont="1" applyFill="1" applyBorder="1" applyAlignment="1">
      <alignment horizontal="right" wrapText="1"/>
    </xf>
    <xf numFmtId="3" fontId="13" fillId="2" borderId="0" xfId="0" applyNumberFormat="1" applyFont="1" applyFill="1" applyAlignment="1">
      <alignment wrapText="1"/>
    </xf>
    <xf numFmtId="0" fontId="13" fillId="2" borderId="0" xfId="0" applyFont="1" applyFill="1" applyAlignment="1">
      <alignment wrapText="1"/>
    </xf>
    <xf numFmtId="3" fontId="27" fillId="2" borderId="1" xfId="0" applyNumberFormat="1" applyFont="1" applyFill="1" applyBorder="1" applyAlignment="1">
      <alignment horizontal="center" wrapText="1"/>
    </xf>
    <xf numFmtId="3" fontId="27" fillId="2" borderId="1" xfId="0" applyNumberFormat="1" applyFont="1" applyFill="1" applyBorder="1" applyAlignment="1">
      <alignment wrapText="1"/>
    </xf>
    <xf numFmtId="9" fontId="27" fillId="2" borderId="1" xfId="4" applyFont="1" applyFill="1" applyBorder="1" applyAlignment="1">
      <alignment wrapText="1"/>
    </xf>
    <xf numFmtId="3" fontId="19" fillId="2" borderId="0" xfId="0" applyNumberFormat="1" applyFont="1" applyFill="1" applyBorder="1" applyAlignment="1">
      <alignment wrapText="1"/>
    </xf>
    <xf numFmtId="0" fontId="19" fillId="2" borderId="0" xfId="0" applyFont="1" applyFill="1" applyBorder="1" applyAlignment="1">
      <alignment wrapText="1"/>
    </xf>
    <xf numFmtId="3" fontId="19" fillId="2" borderId="0" xfId="0" applyNumberFormat="1" applyFont="1" applyFill="1" applyAlignment="1">
      <alignment wrapText="1"/>
    </xf>
    <xf numFmtId="0" fontId="19" fillId="2" borderId="0" xfId="0" applyFont="1" applyFill="1" applyAlignment="1">
      <alignment wrapText="1"/>
    </xf>
    <xf numFmtId="3" fontId="11" fillId="2" borderId="0" xfId="0" applyNumberFormat="1" applyFont="1" applyFill="1" applyBorder="1" applyAlignment="1">
      <alignment horizontal="right"/>
    </xf>
    <xf numFmtId="3" fontId="29" fillId="2" borderId="0" xfId="0" applyNumberFormat="1" applyFont="1" applyFill="1" applyBorder="1" applyAlignment="1">
      <alignment horizontal="center"/>
    </xf>
    <xf numFmtId="0" fontId="13" fillId="2" borderId="0" xfId="0" applyFont="1" applyFill="1" applyAlignment="1">
      <alignment horizontal="right"/>
    </xf>
    <xf numFmtId="3" fontId="1" fillId="0" borderId="0" xfId="2" applyFont="1" applyAlignment="1">
      <alignment wrapText="1"/>
    </xf>
    <xf numFmtId="3" fontId="11" fillId="0" borderId="1" xfId="2" applyNumberFormat="1" applyFont="1" applyBorder="1" applyAlignment="1">
      <alignment wrapText="1"/>
    </xf>
    <xf numFmtId="3" fontId="11" fillId="0" borderId="0" xfId="2" applyFont="1" applyAlignment="1">
      <alignment wrapText="1"/>
    </xf>
    <xf numFmtId="3" fontId="1" fillId="0" borderId="1" xfId="2" applyFont="1" applyBorder="1" applyAlignment="1">
      <alignment horizontal="center" wrapText="1"/>
    </xf>
    <xf numFmtId="3" fontId="1" fillId="0" borderId="1" xfId="2" applyFont="1" applyBorder="1" applyAlignment="1">
      <alignment wrapText="1"/>
    </xf>
    <xf numFmtId="3" fontId="1" fillId="0" borderId="1" xfId="2" applyNumberFormat="1" applyFont="1" applyBorder="1" applyAlignment="1">
      <alignment wrapText="1"/>
    </xf>
    <xf numFmtId="3" fontId="11" fillId="0" borderId="1" xfId="2" applyFont="1" applyBorder="1" applyAlignment="1">
      <alignment wrapText="1"/>
    </xf>
    <xf numFmtId="3" fontId="27" fillId="0" borderId="0" xfId="2" applyFont="1">
      <alignment vertical="center" wrapText="1"/>
    </xf>
    <xf numFmtId="3" fontId="7" fillId="0" borderId="0" xfId="2" applyFont="1">
      <alignment vertical="center" wrapText="1"/>
    </xf>
    <xf numFmtId="3" fontId="7" fillId="0" borderId="1" xfId="2" applyNumberFormat="1" applyFont="1" applyBorder="1" applyAlignment="1">
      <alignment horizontal="center" vertical="center" wrapText="1"/>
    </xf>
    <xf numFmtId="3" fontId="8" fillId="0" borderId="1" xfId="2" applyFont="1" applyBorder="1" applyAlignment="1">
      <alignment horizontal="center" wrapText="1"/>
    </xf>
    <xf numFmtId="3" fontId="8" fillId="0" borderId="1" xfId="2" applyFont="1" applyBorder="1" applyAlignment="1">
      <alignment wrapText="1"/>
    </xf>
    <xf numFmtId="3" fontId="8" fillId="0" borderId="1" xfId="2" applyNumberFormat="1" applyFont="1" applyBorder="1" applyAlignment="1">
      <alignment wrapText="1"/>
    </xf>
    <xf numFmtId="3" fontId="8" fillId="0" borderId="0" xfId="2" applyFont="1" applyAlignment="1">
      <alignment wrapText="1"/>
    </xf>
    <xf numFmtId="3" fontId="7" fillId="0" borderId="1" xfId="2" applyNumberFormat="1" applyFont="1" applyBorder="1" applyAlignment="1">
      <alignment wrapText="1"/>
    </xf>
    <xf numFmtId="3" fontId="7" fillId="0" borderId="0" xfId="2" applyFont="1" applyAlignment="1">
      <alignment wrapText="1"/>
    </xf>
    <xf numFmtId="3" fontId="1" fillId="0" borderId="0" xfId="2" applyFont="1" applyFill="1" applyAlignment="1">
      <alignment wrapText="1"/>
    </xf>
    <xf numFmtId="3" fontId="27" fillId="0" borderId="0" xfId="2" applyFont="1" applyFill="1" applyAlignment="1">
      <alignment wrapText="1"/>
    </xf>
    <xf numFmtId="3" fontId="13" fillId="0" borderId="1" xfId="2" applyFont="1" applyFill="1" applyBorder="1" applyAlignment="1">
      <alignment horizontal="center" wrapText="1"/>
    </xf>
    <xf numFmtId="0" fontId="13" fillId="0" borderId="1" xfId="0" applyFont="1" applyBorder="1" applyAlignment="1">
      <alignment horizontal="left" wrapText="1"/>
    </xf>
    <xf numFmtId="0" fontId="9" fillId="2" borderId="0" xfId="0" applyFont="1" applyFill="1" applyAlignment="1">
      <alignment horizontal="center"/>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3" fontId="8" fillId="0" borderId="1" xfId="2" applyNumberFormat="1" applyFont="1" applyFill="1" applyBorder="1" applyAlignment="1">
      <alignment wrapText="1"/>
    </xf>
    <xf numFmtId="3" fontId="7" fillId="0" borderId="1" xfId="2" applyFont="1" applyFill="1" applyBorder="1" applyAlignment="1">
      <alignment wrapText="1"/>
    </xf>
    <xf numFmtId="3" fontId="7" fillId="2" borderId="0" xfId="0" applyNumberFormat="1" applyFont="1" applyFill="1" applyAlignment="1">
      <alignment horizontal="center" vertical="center" wrapText="1"/>
    </xf>
    <xf numFmtId="0" fontId="6" fillId="2" borderId="0" xfId="0" applyFont="1" applyFill="1" applyBorder="1" applyAlignment="1"/>
    <xf numFmtId="3" fontId="13" fillId="3" borderId="1" xfId="0" applyNumberFormat="1" applyFont="1" applyFill="1" applyBorder="1" applyAlignment="1">
      <alignment wrapText="1"/>
    </xf>
    <xf numFmtId="9" fontId="28" fillId="2" borderId="1" xfId="4" applyFont="1" applyFill="1" applyBorder="1" applyAlignment="1">
      <alignment horizontal="right" wrapText="1"/>
    </xf>
    <xf numFmtId="9" fontId="27" fillId="2" borderId="1" xfId="0" applyNumberFormat="1" applyFont="1" applyFill="1" applyBorder="1" applyAlignment="1">
      <alignment wrapText="1"/>
    </xf>
    <xf numFmtId="9" fontId="27" fillId="2" borderId="1" xfId="4" applyFont="1" applyFill="1" applyBorder="1" applyAlignment="1">
      <alignment horizontal="right" wrapText="1"/>
    </xf>
    <xf numFmtId="3" fontId="14" fillId="2" borderId="1" xfId="0" applyNumberFormat="1" applyFont="1" applyFill="1" applyBorder="1" applyAlignment="1">
      <alignment wrapText="1"/>
    </xf>
    <xf numFmtId="3" fontId="9" fillId="2" borderId="0" xfId="0" applyNumberFormat="1" applyFont="1" applyFill="1" applyAlignment="1">
      <alignment wrapText="1"/>
    </xf>
    <xf numFmtId="0" fontId="13" fillId="2" borderId="1" xfId="0" applyNumberFormat="1" applyFont="1" applyFill="1" applyBorder="1" applyAlignment="1">
      <alignment horizontal="center" wrapText="1"/>
    </xf>
    <xf numFmtId="3" fontId="13" fillId="3" borderId="1" xfId="0" applyNumberFormat="1" applyFont="1" applyFill="1" applyBorder="1" applyAlignment="1">
      <alignment horizontal="center" wrapText="1"/>
    </xf>
    <xf numFmtId="9" fontId="13" fillId="3" borderId="1" xfId="4" applyFont="1" applyFill="1" applyBorder="1" applyAlignment="1">
      <alignment horizontal="right" wrapText="1"/>
    </xf>
    <xf numFmtId="3" fontId="9" fillId="3" borderId="0" xfId="0" applyNumberFormat="1" applyFont="1" applyFill="1" applyAlignment="1">
      <alignment wrapText="1"/>
    </xf>
    <xf numFmtId="0" fontId="9" fillId="3" borderId="0" xfId="0" applyFont="1" applyFill="1" applyAlignment="1">
      <alignment wrapText="1"/>
    </xf>
    <xf numFmtId="0" fontId="7" fillId="2" borderId="0" xfId="0" applyFont="1" applyFill="1" applyAlignment="1">
      <alignment horizontal="center" vertical="center" wrapText="1"/>
    </xf>
    <xf numFmtId="164" fontId="8" fillId="2" borderId="1" xfId="1" applyNumberFormat="1" applyFont="1" applyFill="1" applyBorder="1" applyAlignment="1">
      <alignment horizontal="center" wrapText="1"/>
    </xf>
    <xf numFmtId="164" fontId="7" fillId="2" borderId="1" xfId="1" applyNumberFormat="1" applyFont="1" applyFill="1" applyBorder="1" applyAlignment="1">
      <alignment horizontal="center" wrapText="1"/>
    </xf>
    <xf numFmtId="164" fontId="7" fillId="2" borderId="1" xfId="1" applyNumberFormat="1" applyFont="1" applyFill="1" applyBorder="1" applyAlignment="1">
      <alignment horizontal="right" wrapText="1"/>
    </xf>
    <xf numFmtId="3" fontId="7" fillId="2" borderId="1" xfId="1" applyNumberFormat="1" applyFont="1" applyFill="1" applyBorder="1" applyAlignment="1">
      <alignment horizontal="center" wrapText="1"/>
    </xf>
    <xf numFmtId="0" fontId="7" fillId="2" borderId="1" xfId="1" applyNumberFormat="1" applyFont="1" applyFill="1" applyBorder="1" applyAlignment="1">
      <alignment horizontal="left" wrapText="1"/>
    </xf>
    <xf numFmtId="0" fontId="7" fillId="2" borderId="1" xfId="1" applyNumberFormat="1" applyFont="1" applyFill="1" applyBorder="1" applyAlignment="1">
      <alignment wrapText="1"/>
    </xf>
    <xf numFmtId="3" fontId="8" fillId="2" borderId="1" xfId="1" applyNumberFormat="1" applyFont="1" applyFill="1" applyBorder="1" applyAlignment="1">
      <alignment horizontal="center" wrapText="1"/>
    </xf>
    <xf numFmtId="0" fontId="8" fillId="2" borderId="1" xfId="1" applyNumberFormat="1" applyFont="1" applyFill="1" applyBorder="1" applyAlignment="1">
      <alignment wrapText="1"/>
    </xf>
    <xf numFmtId="164" fontId="8" fillId="2" borderId="1" xfId="1" applyNumberFormat="1" applyFont="1" applyFill="1" applyBorder="1" applyAlignment="1">
      <alignment horizontal="right" wrapText="1"/>
    </xf>
    <xf numFmtId="3" fontId="16" fillId="2" borderId="1" xfId="1" applyNumberFormat="1" applyFont="1" applyFill="1" applyBorder="1" applyAlignment="1">
      <alignment horizontal="center" wrapText="1"/>
    </xf>
    <xf numFmtId="0" fontId="16" fillId="2" borderId="1" xfId="1" applyNumberFormat="1" applyFont="1" applyFill="1" applyBorder="1" applyAlignment="1">
      <alignment wrapText="1"/>
    </xf>
    <xf numFmtId="164" fontId="16" fillId="2" borderId="1" xfId="1" applyNumberFormat="1" applyFont="1" applyFill="1" applyBorder="1" applyAlignment="1">
      <alignment horizontal="right" wrapText="1"/>
    </xf>
    <xf numFmtId="164" fontId="8" fillId="2" borderId="1" xfId="1" applyNumberFormat="1" applyFont="1" applyFill="1" applyBorder="1" applyAlignment="1">
      <alignment wrapText="1"/>
    </xf>
    <xf numFmtId="0" fontId="8" fillId="2" borderId="1" xfId="1" applyNumberFormat="1" applyFont="1" applyFill="1" applyBorder="1" applyAlignment="1">
      <alignment horizontal="justify" wrapText="1"/>
    </xf>
    <xf numFmtId="0" fontId="8" fillId="2" borderId="1" xfId="1" applyNumberFormat="1" applyFont="1" applyFill="1" applyBorder="1" applyAlignment="1">
      <alignment horizontal="left" wrapText="1"/>
    </xf>
    <xf numFmtId="164" fontId="1" fillId="2" borderId="0" xfId="1" applyNumberFormat="1" applyFont="1" applyFill="1"/>
    <xf numFmtId="164" fontId="11" fillId="2" borderId="0" xfId="1" applyNumberFormat="1" applyFont="1" applyFill="1" applyAlignment="1">
      <alignment vertical="center"/>
    </xf>
    <xf numFmtId="164" fontId="6" fillId="2" borderId="0" xfId="1" applyNumberFormat="1" applyFont="1" applyFill="1"/>
    <xf numFmtId="164" fontId="11" fillId="2" borderId="0" xfId="1" applyNumberFormat="1" applyFont="1" applyFill="1"/>
    <xf numFmtId="164" fontId="1" fillId="2" borderId="0" xfId="1" applyNumberFormat="1" applyFont="1" applyFill="1" applyBorder="1"/>
    <xf numFmtId="0" fontId="7"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wrapText="1"/>
    </xf>
    <xf numFmtId="37" fontId="7" fillId="2" borderId="1" xfId="1" applyNumberFormat="1" applyFont="1" applyFill="1" applyBorder="1" applyAlignment="1">
      <alignment wrapText="1"/>
    </xf>
    <xf numFmtId="164" fontId="11" fillId="2" borderId="0" xfId="1" applyNumberFormat="1" applyFont="1" applyFill="1" applyAlignment="1">
      <alignment wrapText="1"/>
    </xf>
    <xf numFmtId="37" fontId="8" fillId="2" borderId="1" xfId="1" applyNumberFormat="1" applyFont="1" applyFill="1" applyBorder="1" applyAlignment="1">
      <alignment wrapText="1"/>
    </xf>
    <xf numFmtId="0" fontId="8" fillId="2" borderId="1" xfId="1" applyNumberFormat="1" applyFont="1" applyFill="1" applyBorder="1" applyAlignment="1">
      <alignment horizontal="center" wrapText="1"/>
    </xf>
    <xf numFmtId="164" fontId="1" fillId="2" borderId="0" xfId="1" applyNumberFormat="1" applyFont="1" applyFill="1" applyAlignment="1">
      <alignment wrapText="1"/>
    </xf>
    <xf numFmtId="3" fontId="8" fillId="2" borderId="1" xfId="1" applyNumberFormat="1" applyFont="1" applyFill="1" applyBorder="1" applyAlignment="1">
      <alignment wrapText="1"/>
    </xf>
    <xf numFmtId="3" fontId="8" fillId="2" borderId="1" xfId="1" applyNumberFormat="1" applyFont="1" applyFill="1" applyBorder="1" applyAlignment="1">
      <alignment horizontal="right" wrapText="1"/>
    </xf>
    <xf numFmtId="3" fontId="16" fillId="2" borderId="1" xfId="1" applyNumberFormat="1" applyFont="1" applyFill="1" applyBorder="1" applyAlignment="1">
      <alignment horizontal="right" wrapText="1"/>
    </xf>
    <xf numFmtId="37" fontId="8" fillId="2" borderId="1" xfId="1" applyNumberFormat="1" applyFont="1" applyFill="1" applyBorder="1" applyAlignment="1">
      <alignment horizontal="right" wrapText="1"/>
    </xf>
    <xf numFmtId="164" fontId="5" fillId="2" borderId="0" xfId="1" applyNumberFormat="1" applyFont="1" applyFill="1"/>
    <xf numFmtId="3" fontId="7" fillId="2" borderId="1" xfId="1" applyNumberFormat="1" applyFont="1" applyFill="1" applyBorder="1" applyAlignment="1">
      <alignment horizontal="center" vertical="center" wrapText="1"/>
    </xf>
    <xf numFmtId="3" fontId="27" fillId="2" borderId="1" xfId="1" applyNumberFormat="1" applyFont="1" applyFill="1" applyBorder="1" applyAlignment="1">
      <alignment horizontal="center" vertical="center" wrapText="1"/>
    </xf>
    <xf numFmtId="37" fontId="7" fillId="2" borderId="1" xfId="1" applyNumberFormat="1" applyFont="1" applyFill="1" applyBorder="1" applyAlignment="1">
      <alignment horizontal="right"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5" fillId="2" borderId="2" xfId="0" applyFont="1" applyFill="1" applyBorder="1" applyAlignment="1">
      <alignment horizontal="right"/>
    </xf>
    <xf numFmtId="0" fontId="7" fillId="2" borderId="1" xfId="0" applyFont="1" applyFill="1" applyBorder="1" applyAlignment="1">
      <alignment horizontal="center" vertical="center" wrapText="1"/>
    </xf>
    <xf numFmtId="3" fontId="5" fillId="2" borderId="0" xfId="0" applyNumberFormat="1" applyFont="1" applyFill="1" applyBorder="1" applyAlignment="1">
      <alignment horizontal="right" vertical="center"/>
    </xf>
    <xf numFmtId="3" fontId="11" fillId="2" borderId="1" xfId="0" applyNumberFormat="1" applyFont="1" applyFill="1" applyBorder="1" applyAlignment="1">
      <alignment horizontal="center" vertical="center" wrapText="1"/>
    </xf>
    <xf numFmtId="3" fontId="11" fillId="2" borderId="5" xfId="0" applyNumberFormat="1" applyFont="1" applyFill="1" applyBorder="1" applyAlignment="1">
      <alignment horizontal="center" vertical="center" wrapText="1"/>
    </xf>
    <xf numFmtId="3" fontId="12" fillId="2" borderId="7" xfId="0" applyNumberFormat="1" applyFont="1" applyFill="1" applyBorder="1" applyAlignment="1">
      <alignment horizontal="center" vertical="center" wrapText="1"/>
    </xf>
    <xf numFmtId="3" fontId="12" fillId="2" borderId="8" xfId="0" applyNumberFormat="1" applyFont="1" applyFill="1" applyBorder="1" applyAlignment="1">
      <alignment horizontal="center" vertical="center" wrapText="1"/>
    </xf>
    <xf numFmtId="3" fontId="5" fillId="2" borderId="0"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1" fillId="2" borderId="10" xfId="0" applyNumberFormat="1" applyFont="1" applyFill="1" applyBorder="1" applyAlignment="1">
      <alignment horizontal="center" vertical="center" wrapText="1"/>
    </xf>
    <xf numFmtId="3" fontId="11" fillId="2" borderId="11" xfId="0" applyNumberFormat="1" applyFont="1" applyFill="1" applyBorder="1" applyAlignment="1">
      <alignment horizontal="center" vertical="center" wrapText="1"/>
    </xf>
    <xf numFmtId="3" fontId="11" fillId="2" borderId="7" xfId="0" applyNumberFormat="1" applyFont="1" applyFill="1" applyBorder="1" applyAlignment="1">
      <alignment horizontal="center" vertical="center" wrapText="1"/>
    </xf>
    <xf numFmtId="3" fontId="11" fillId="2" borderId="8"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5" fillId="2" borderId="0" xfId="0" applyFont="1" applyFill="1" applyAlignment="1">
      <alignment horizontal="right" vertical="top"/>
    </xf>
    <xf numFmtId="3" fontId="5" fillId="2" borderId="0" xfId="0" applyNumberFormat="1" applyFont="1" applyFill="1" applyBorder="1" applyAlignment="1">
      <alignment horizontal="center"/>
    </xf>
    <xf numFmtId="0" fontId="5" fillId="2" borderId="0" xfId="0" applyFont="1" applyFill="1" applyAlignment="1">
      <alignment horizontal="center"/>
    </xf>
    <xf numFmtId="0" fontId="6" fillId="2" borderId="9" xfId="0" applyFont="1" applyFill="1" applyBorder="1" applyAlignment="1">
      <alignment horizontal="right" wrapText="1"/>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8" xfId="0" applyFont="1" applyFill="1" applyBorder="1" applyAlignment="1">
      <alignment horizontal="center" vertical="center"/>
    </xf>
    <xf numFmtId="0" fontId="8" fillId="2" borderId="1" xfId="0" applyFont="1" applyFill="1" applyBorder="1" applyAlignment="1">
      <alignment horizontal="center" vertical="center" wrapText="1"/>
    </xf>
    <xf numFmtId="0" fontId="3" fillId="2" borderId="0" xfId="0" applyFont="1" applyFill="1" applyAlignment="1">
      <alignment horizontal="right" vertical="top"/>
    </xf>
    <xf numFmtId="0" fontId="6" fillId="2" borderId="9" xfId="0" applyFont="1" applyFill="1" applyBorder="1" applyAlignment="1">
      <alignment horizontal="right" vertical="center"/>
    </xf>
    <xf numFmtId="164" fontId="11" fillId="2" borderId="0" xfId="1" applyNumberFormat="1" applyFont="1" applyFill="1" applyAlignment="1">
      <alignment horizontal="center"/>
    </xf>
    <xf numFmtId="1" fontId="10" fillId="2" borderId="0" xfId="3" applyNumberFormat="1" applyFont="1" applyFill="1" applyAlignment="1">
      <alignment horizontal="center" vertical="center"/>
    </xf>
    <xf numFmtId="164" fontId="6" fillId="2" borderId="9" xfId="1" applyNumberFormat="1" applyFont="1" applyFill="1" applyBorder="1" applyAlignment="1">
      <alignment horizontal="right"/>
    </xf>
    <xf numFmtId="164" fontId="11" fillId="2" borderId="0" xfId="1" applyNumberFormat="1" applyFont="1" applyFill="1" applyAlignment="1">
      <alignment horizontal="right"/>
    </xf>
    <xf numFmtId="164" fontId="5" fillId="2" borderId="0" xfId="1" applyNumberFormat="1" applyFont="1" applyFill="1" applyAlignment="1">
      <alignment horizontal="right"/>
    </xf>
    <xf numFmtId="0" fontId="7"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xf>
    <xf numFmtId="0" fontId="7" fillId="2" borderId="5" xfId="1" applyNumberFormat="1"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164" fontId="5" fillId="2" borderId="0" xfId="1" applyNumberFormat="1" applyFont="1" applyFill="1" applyAlignment="1">
      <alignment horizontal="center"/>
    </xf>
    <xf numFmtId="164" fontId="6" fillId="2" borderId="0" xfId="1" applyNumberFormat="1" applyFont="1" applyFill="1" applyBorder="1" applyAlignment="1">
      <alignment horizontal="center"/>
    </xf>
    <xf numFmtId="164" fontId="23" fillId="0" borderId="0" xfId="1" applyNumberFormat="1" applyFont="1" applyAlignment="1">
      <alignment horizontal="center"/>
    </xf>
    <xf numFmtId="3" fontId="3" fillId="0" borderId="0" xfId="2" applyFont="1" applyAlignment="1">
      <alignment horizontal="right" vertical="center" wrapText="1"/>
    </xf>
    <xf numFmtId="1" fontId="5" fillId="0" borderId="0" xfId="2" applyNumberFormat="1" applyFont="1" applyAlignment="1">
      <alignment horizontal="center" vertical="center"/>
    </xf>
    <xf numFmtId="1" fontId="10" fillId="0" borderId="0" xfId="2" applyNumberFormat="1" applyFont="1" applyAlignment="1">
      <alignment horizontal="center" vertical="center"/>
    </xf>
    <xf numFmtId="1" fontId="33" fillId="0" borderId="0" xfId="2" applyNumberFormat="1" applyFont="1" applyAlignment="1">
      <alignment horizontal="center" vertical="center"/>
    </xf>
    <xf numFmtId="3" fontId="6" fillId="0" borderId="9" xfId="2" applyFont="1" applyBorder="1" applyAlignment="1">
      <alignment horizontal="right" vertical="center" wrapText="1"/>
    </xf>
    <xf numFmtId="3" fontId="27" fillId="0" borderId="1" xfId="2" applyFont="1" applyFill="1" applyBorder="1" applyAlignment="1">
      <alignment horizontal="center" wrapText="1"/>
    </xf>
    <xf numFmtId="3" fontId="3" fillId="0" borderId="0" xfId="2" applyNumberFormat="1" applyFont="1" applyAlignment="1">
      <alignment horizontal="right" vertical="center" wrapText="1"/>
    </xf>
    <xf numFmtId="1" fontId="10" fillId="0" borderId="0" xfId="3" applyNumberFormat="1" applyFont="1" applyAlignment="1">
      <alignment horizontal="center" vertical="center"/>
    </xf>
    <xf numFmtId="3" fontId="11" fillId="0" borderId="1" xfId="2" applyFont="1" applyBorder="1" applyAlignment="1">
      <alignment horizontal="center" wrapText="1"/>
    </xf>
    <xf numFmtId="3" fontId="27" fillId="0" borderId="1" xfId="2" applyFont="1" applyBorder="1" applyAlignment="1">
      <alignment horizontal="center" vertical="center" wrapText="1"/>
    </xf>
    <xf numFmtId="3" fontId="27" fillId="0" borderId="1" xfId="2" applyNumberFormat="1" applyFont="1" applyBorder="1" applyAlignment="1">
      <alignment horizontal="center" vertical="center" wrapText="1"/>
    </xf>
    <xf numFmtId="3" fontId="26" fillId="0" borderId="0" xfId="2" applyNumberFormat="1" applyFont="1" applyAlignment="1">
      <alignment horizontal="right" vertical="center" wrapText="1"/>
    </xf>
    <xf numFmtId="3" fontId="6" fillId="0" borderId="9" xfId="2" applyNumberFormat="1" applyFont="1" applyBorder="1" applyAlignment="1">
      <alignment horizontal="right" vertical="center" wrapText="1"/>
    </xf>
    <xf numFmtId="3" fontId="7" fillId="0" borderId="1" xfId="2" applyFont="1" applyBorder="1" applyAlignment="1">
      <alignment horizontal="center" wrapText="1"/>
    </xf>
    <xf numFmtId="3" fontId="7" fillId="0" borderId="1" xfId="2" applyFont="1" applyBorder="1" applyAlignment="1">
      <alignment horizontal="center" vertical="center" wrapText="1"/>
    </xf>
    <xf numFmtId="3" fontId="7" fillId="0" borderId="1" xfId="2" applyNumberFormat="1" applyFont="1" applyBorder="1" applyAlignment="1">
      <alignment horizontal="center" vertical="center" wrapText="1"/>
    </xf>
    <xf numFmtId="3" fontId="23" fillId="0" borderId="0" xfId="0" applyNumberFormat="1" applyFont="1" applyAlignment="1">
      <alignment horizontal="center" vertical="center"/>
    </xf>
    <xf numFmtId="3" fontId="25" fillId="0" borderId="9" xfId="0" applyNumberFormat="1" applyFont="1" applyBorder="1" applyAlignment="1">
      <alignment horizontal="right" wrapText="1"/>
    </xf>
    <xf numFmtId="3" fontId="32" fillId="0" borderId="0" xfId="0" applyNumberFormat="1" applyFont="1" applyAlignment="1">
      <alignment horizontal="right" vertical="center"/>
    </xf>
    <xf numFmtId="0" fontId="11" fillId="2" borderId="0" xfId="0" applyFont="1" applyFill="1" applyAlignment="1">
      <alignment horizontal="center" wrapText="1"/>
    </xf>
    <xf numFmtId="0" fontId="11" fillId="2" borderId="0" xfId="0" applyFont="1" applyFill="1" applyAlignment="1">
      <alignment horizontal="center"/>
    </xf>
    <xf numFmtId="1" fontId="6" fillId="2" borderId="0" xfId="8" applyNumberFormat="1" applyFont="1" applyFill="1" applyAlignment="1">
      <alignment horizontal="center" vertical="center" wrapText="1"/>
    </xf>
    <xf numFmtId="3" fontId="6" fillId="2" borderId="9" xfId="0" applyNumberFormat="1" applyFont="1" applyFill="1" applyBorder="1" applyAlignment="1">
      <alignment horizontal="right" vertical="center" wrapText="1"/>
    </xf>
  </cellXfs>
  <cellStyles count="18">
    <cellStyle name="Comma" xfId="1" builtinId="3"/>
    <cellStyle name="Comma 11" xfId="9"/>
    <cellStyle name="Comma 2" xfId="10"/>
    <cellStyle name="Comma 3" xfId="11"/>
    <cellStyle name="Comma 4" xfId="12"/>
    <cellStyle name="Comma 4 2" xfId="13"/>
    <cellStyle name="Comma 4 2 2" xfId="14"/>
    <cellStyle name="Ledger 17 x 11 in" xfId="15"/>
    <cellStyle name="Normal" xfId="0" builtinId="0"/>
    <cellStyle name="Normal 10" xfId="2"/>
    <cellStyle name="Normal 11" xfId="7"/>
    <cellStyle name="Normal 14" xfId="5"/>
    <cellStyle name="Normal 2 2" xfId="6"/>
    <cellStyle name="Normal 4" xfId="16"/>
    <cellStyle name="Normal 5" xfId="17"/>
    <cellStyle name="Normal_Bieu mau (CV )" xfId="8"/>
    <cellStyle name="Normal_XD DT 2014" xfId="3"/>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7921;%20to&#225;n%202017\X&#226;y%20d&#7921;ng%20&#273;&#7883;nh%20m&#7913;c%20d&#7921;%20to&#225;n%202017\S&#7889;%20li&#7879;u%20DT%20c&#7911;a%20ph&#242;ng%20HCSN%20v&#242;ng%201\Daotao%20g&#7917;i%20l&#7847;n%202%20ng&#224;y%2027-1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7921;%20to&#225;n%202017\X&#226;y%20d&#7921;ng%20&#273;&#7883;nh%20m&#7913;c%20d&#7921;%20to&#225;n%202017\S&#7889;%20li&#7879;u%20DT%20c&#7911;a%20ph&#242;ng%20HCSN%20v&#242;ng%201\DT%202017%20ng&#224;y%2020-10-2016%20(NS%20s&#7917;a%20l&#7841;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DT"/>
      <sheetName val="Hsinh"/>
      <sheetName val="DT chi tiet 2017"/>
      <sheetName val="TH DT 2017 "/>
      <sheetName val="TH GUI P NS"/>
      <sheetName val="Thuyet minh SV lao"/>
      <sheetName val="Giao thu"/>
      <sheetName val="TH DT 2016"/>
      <sheetName val="DT chi tiet 2016"/>
      <sheetName val="Chi tiet truong Chính trị 2015"/>
      <sheetName val="Chi tiet truong Ctri 2016"/>
      <sheetName val="Truong Chinh tri 2017"/>
      <sheetName val="TM luong 2015-2016"/>
      <sheetName val="So sanh luong 2014"/>
      <sheetName val="TH gui NS"/>
      <sheetName val="So sanh chi tieu HS"/>
      <sheetName val="DT 2014 NS"/>
      <sheetName val="Tminh"/>
      <sheetName val="QLTT"/>
    </sheetNames>
    <sheetDataSet>
      <sheetData sheetId="0"/>
      <sheetData sheetId="1"/>
      <sheetData sheetId="2"/>
      <sheetData sheetId="3">
        <row r="6">
          <cell r="R6">
            <v>100892.86</v>
          </cell>
        </row>
        <row r="7">
          <cell r="R7">
            <v>98649.86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HC"/>
      <sheetName val="SN"/>
      <sheetName val="Sheet1"/>
      <sheetName val="Sheet3"/>
      <sheetName val="Sheet4"/>
      <sheetName val="Sheet5"/>
      <sheetName val="Sheet6"/>
      <sheetName val="TMinh"/>
    </sheetNames>
    <sheetDataSet>
      <sheetData sheetId="0">
        <row r="7">
          <cell r="M7">
            <v>257427.41490927897</v>
          </cell>
        </row>
      </sheetData>
      <sheetData sheetId="1">
        <row r="57">
          <cell r="M57">
            <v>27952</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zoomScale="110" zoomScaleNormal="110" workbookViewId="0">
      <selection activeCell="A2" sqref="A2:G2"/>
    </sheetView>
  </sheetViews>
  <sheetFormatPr defaultRowHeight="12.75" x14ac:dyDescent="0.2"/>
  <cols>
    <col min="1" max="1" width="5" style="146" customWidth="1"/>
    <col min="2" max="2" width="33.25" style="21" customWidth="1"/>
    <col min="3" max="3" width="9.75" style="21" customWidth="1"/>
    <col min="4" max="5" width="9.625" style="21" customWidth="1"/>
    <col min="6" max="6" width="8.375" style="21" customWidth="1"/>
    <col min="7" max="7" width="7.875" style="21" customWidth="1"/>
    <col min="8" max="12" width="9" style="92"/>
    <col min="13" max="16384" width="9" style="21"/>
  </cols>
  <sheetData>
    <row r="1" spans="1:12" ht="33.75" customHeight="1" x14ac:dyDescent="0.25">
      <c r="A1" s="281" t="s">
        <v>794</v>
      </c>
      <c r="B1" s="282"/>
      <c r="C1" s="282"/>
      <c r="D1" s="282"/>
      <c r="E1" s="282"/>
      <c r="F1" s="282"/>
      <c r="G1" s="282"/>
    </row>
    <row r="2" spans="1:12" ht="21" customHeight="1" x14ac:dyDescent="0.2">
      <c r="A2" s="283" t="s">
        <v>795</v>
      </c>
      <c r="B2" s="283"/>
      <c r="C2" s="283"/>
      <c r="D2" s="283"/>
      <c r="E2" s="283"/>
      <c r="F2" s="283"/>
      <c r="G2" s="283"/>
    </row>
    <row r="3" spans="1:12" ht="24.75" customHeight="1" x14ac:dyDescent="0.25">
      <c r="A3" s="127"/>
      <c r="B3" s="36"/>
      <c r="C3" s="173"/>
      <c r="D3" s="249" t="s">
        <v>469</v>
      </c>
      <c r="E3" s="249"/>
      <c r="F3" s="249"/>
      <c r="G3" s="249"/>
    </row>
    <row r="4" spans="1:12" s="185" customFormat="1" ht="24.75" customHeight="1" x14ac:dyDescent="0.25">
      <c r="A4" s="224" t="s">
        <v>44</v>
      </c>
      <c r="B4" s="224" t="s">
        <v>45</v>
      </c>
      <c r="C4" s="224" t="s">
        <v>304</v>
      </c>
      <c r="D4" s="221" t="s">
        <v>611</v>
      </c>
      <c r="E4" s="222"/>
      <c r="F4" s="224" t="s">
        <v>586</v>
      </c>
      <c r="G4" s="224"/>
      <c r="H4" s="172"/>
      <c r="I4" s="172"/>
      <c r="J4" s="172"/>
      <c r="K4" s="172"/>
      <c r="L4" s="172"/>
    </row>
    <row r="5" spans="1:12" s="185" customFormat="1" ht="44.25" customHeight="1" x14ac:dyDescent="0.25">
      <c r="A5" s="224"/>
      <c r="B5" s="224" t="s">
        <v>46</v>
      </c>
      <c r="C5" s="224" t="s">
        <v>47</v>
      </c>
      <c r="D5" s="169" t="s">
        <v>585</v>
      </c>
      <c r="E5" s="168" t="s">
        <v>610</v>
      </c>
      <c r="F5" s="128" t="s">
        <v>587</v>
      </c>
      <c r="G5" s="128" t="s">
        <v>588</v>
      </c>
      <c r="H5" s="172"/>
      <c r="I5" s="172"/>
      <c r="J5" s="172"/>
      <c r="K5" s="172"/>
      <c r="L5" s="172"/>
    </row>
    <row r="6" spans="1:12" s="143" customFormat="1" ht="25.5" customHeight="1" x14ac:dyDescent="0.2">
      <c r="A6" s="129"/>
      <c r="B6" s="130" t="s">
        <v>589</v>
      </c>
      <c r="C6" s="131">
        <f>SUM(C7,C11,C36,C37:C50)</f>
        <v>13414767</v>
      </c>
      <c r="D6" s="131">
        <f>SUM(D7,D11,D36,D37:D50)</f>
        <v>9676914.5399999991</v>
      </c>
      <c r="E6" s="131">
        <f>SUM(E7,E11,E36,E37:E50)</f>
        <v>12208438</v>
      </c>
      <c r="F6" s="175">
        <f>D6/C6</f>
        <v>0.72136284886647672</v>
      </c>
      <c r="G6" s="175">
        <f>E6/C6</f>
        <v>0.91007454695262313</v>
      </c>
      <c r="H6" s="142"/>
      <c r="I6" s="142"/>
      <c r="J6" s="142"/>
      <c r="K6" s="142"/>
      <c r="L6" s="142"/>
    </row>
    <row r="7" spans="1:12" s="143" customFormat="1" ht="26.25" customHeight="1" x14ac:dyDescent="0.2">
      <c r="A7" s="137" t="s">
        <v>52</v>
      </c>
      <c r="B7" s="138" t="s">
        <v>53</v>
      </c>
      <c r="C7" s="138">
        <f>C8+C9+C10</f>
        <v>2840706</v>
      </c>
      <c r="D7" s="138">
        <f>D8+D9+D10</f>
        <v>2855200</v>
      </c>
      <c r="E7" s="138">
        <v>3465000</v>
      </c>
      <c r="F7" s="176">
        <f>D7/C7</f>
        <v>1.0051022527498445</v>
      </c>
      <c r="G7" s="176">
        <f>E7/C7</f>
        <v>1.2197671987175018</v>
      </c>
      <c r="H7" s="142"/>
      <c r="I7" s="142"/>
      <c r="J7" s="142"/>
      <c r="K7" s="142"/>
      <c r="L7" s="142"/>
    </row>
    <row r="8" spans="1:12" s="136" customFormat="1" ht="35.25" customHeight="1" x14ac:dyDescent="0.2">
      <c r="A8" s="132">
        <v>1</v>
      </c>
      <c r="B8" s="133" t="s">
        <v>590</v>
      </c>
      <c r="C8" s="133">
        <v>1976274</v>
      </c>
      <c r="D8" s="133">
        <v>2176000</v>
      </c>
      <c r="E8" s="133"/>
      <c r="F8" s="134">
        <f t="shared" ref="F8:F35" si="0">D8/C8</f>
        <v>1.1010618972875219</v>
      </c>
      <c r="G8" s="134"/>
      <c r="H8" s="135"/>
      <c r="I8" s="135"/>
      <c r="J8" s="135"/>
      <c r="K8" s="135"/>
      <c r="L8" s="135"/>
    </row>
    <row r="9" spans="1:12" s="136" customFormat="1" ht="24.95" customHeight="1" x14ac:dyDescent="0.2">
      <c r="A9" s="132">
        <v>2</v>
      </c>
      <c r="B9" s="133" t="s">
        <v>62</v>
      </c>
      <c r="C9" s="133">
        <v>764432</v>
      </c>
      <c r="D9" s="133">
        <v>610000</v>
      </c>
      <c r="E9" s="133"/>
      <c r="F9" s="134">
        <f t="shared" si="0"/>
        <v>0.7979781066203403</v>
      </c>
      <c r="G9" s="134"/>
      <c r="H9" s="135"/>
      <c r="I9" s="135"/>
      <c r="J9" s="135"/>
      <c r="K9" s="135"/>
      <c r="L9" s="135"/>
    </row>
    <row r="10" spans="1:12" s="136" customFormat="1" ht="24.95" customHeight="1" x14ac:dyDescent="0.2">
      <c r="A10" s="132">
        <v>3</v>
      </c>
      <c r="B10" s="133" t="s">
        <v>72</v>
      </c>
      <c r="C10" s="133">
        <v>100000</v>
      </c>
      <c r="D10" s="133">
        <v>69200</v>
      </c>
      <c r="E10" s="133"/>
      <c r="F10" s="134">
        <f t="shared" si="0"/>
        <v>0.69199999999999995</v>
      </c>
      <c r="G10" s="134"/>
      <c r="H10" s="135"/>
      <c r="I10" s="135"/>
      <c r="J10" s="135"/>
      <c r="K10" s="135"/>
      <c r="L10" s="135"/>
    </row>
    <row r="11" spans="1:12" s="143" customFormat="1" ht="24.95" customHeight="1" x14ac:dyDescent="0.2">
      <c r="A11" s="137" t="s">
        <v>73</v>
      </c>
      <c r="B11" s="138" t="s">
        <v>74</v>
      </c>
      <c r="C11" s="138">
        <f>SUM(C13:C35)</f>
        <v>7448884</v>
      </c>
      <c r="D11" s="138">
        <f>SUM(D13:D35)</f>
        <v>5648096.54</v>
      </c>
      <c r="E11" s="138">
        <f>SUM(E13:E35)</f>
        <v>7147230</v>
      </c>
      <c r="F11" s="177">
        <f t="shared" si="0"/>
        <v>0.75824734819336692</v>
      </c>
      <c r="G11" s="176">
        <f>E11/C11</f>
        <v>0.95950346387458851</v>
      </c>
      <c r="H11" s="142"/>
      <c r="I11" s="142"/>
      <c r="J11" s="142"/>
      <c r="K11" s="142"/>
      <c r="L11" s="142"/>
    </row>
    <row r="12" spans="1:12" s="143" customFormat="1" ht="24.95" customHeight="1" x14ac:dyDescent="0.2">
      <c r="A12" s="137"/>
      <c r="B12" s="178" t="s">
        <v>57</v>
      </c>
      <c r="C12" s="138"/>
      <c r="D12" s="138"/>
      <c r="E12" s="138"/>
      <c r="F12" s="177"/>
      <c r="G12" s="177"/>
      <c r="H12" s="142"/>
      <c r="I12" s="142"/>
      <c r="J12" s="142"/>
      <c r="K12" s="142"/>
      <c r="L12" s="142"/>
    </row>
    <row r="13" spans="1:12" s="118" customFormat="1" ht="24.95" customHeight="1" x14ac:dyDescent="0.2">
      <c r="A13" s="132">
        <v>1</v>
      </c>
      <c r="B13" s="133" t="s">
        <v>75</v>
      </c>
      <c r="C13" s="133">
        <v>591489</v>
      </c>
      <c r="D13" s="133">
        <v>450532</v>
      </c>
      <c r="E13" s="133">
        <v>573867</v>
      </c>
      <c r="F13" s="134">
        <f t="shared" si="0"/>
        <v>0.76169125714932995</v>
      </c>
      <c r="G13" s="134">
        <f>E13/C13</f>
        <v>0.97020739185344107</v>
      </c>
      <c r="H13" s="179"/>
      <c r="I13" s="179"/>
      <c r="J13" s="179"/>
      <c r="K13" s="179"/>
      <c r="L13" s="179"/>
    </row>
    <row r="14" spans="1:12" s="118" customFormat="1" ht="24.95" customHeight="1" x14ac:dyDescent="0.2">
      <c r="A14" s="180">
        <v>2</v>
      </c>
      <c r="B14" s="133" t="s">
        <v>84</v>
      </c>
      <c r="C14" s="133">
        <v>57332</v>
      </c>
      <c r="D14" s="133">
        <v>49230</v>
      </c>
      <c r="E14" s="133">
        <v>57332</v>
      </c>
      <c r="F14" s="134">
        <f t="shared" si="0"/>
        <v>0.85868276006418753</v>
      </c>
      <c r="G14" s="134">
        <f t="shared" ref="G14:G35" si="1">E14/C14</f>
        <v>1</v>
      </c>
      <c r="H14" s="179"/>
      <c r="I14" s="179"/>
      <c r="J14" s="179"/>
      <c r="K14" s="179"/>
      <c r="L14" s="179"/>
    </row>
    <row r="15" spans="1:12" s="118" customFormat="1" ht="24.95" customHeight="1" x14ac:dyDescent="0.2">
      <c r="A15" s="132">
        <v>3</v>
      </c>
      <c r="B15" s="133" t="s">
        <v>591</v>
      </c>
      <c r="C15" s="133">
        <v>3286057</v>
      </c>
      <c r="D15" s="133">
        <v>2612415</v>
      </c>
      <c r="E15" s="133">
        <v>3220336</v>
      </c>
      <c r="F15" s="134">
        <f t="shared" si="0"/>
        <v>0.79499990414043331</v>
      </c>
      <c r="G15" s="134">
        <f t="shared" si="1"/>
        <v>0.98000004260425189</v>
      </c>
      <c r="H15" s="179"/>
      <c r="I15" s="179"/>
      <c r="J15" s="179"/>
      <c r="K15" s="179"/>
      <c r="L15" s="179"/>
    </row>
    <row r="16" spans="1:12" s="179" customFormat="1" ht="24.95" customHeight="1" x14ac:dyDescent="0.2">
      <c r="A16" s="180">
        <v>4</v>
      </c>
      <c r="B16" s="133" t="s">
        <v>96</v>
      </c>
      <c r="C16" s="133">
        <v>473792</v>
      </c>
      <c r="D16" s="133">
        <v>341130</v>
      </c>
      <c r="E16" s="133">
        <v>469050</v>
      </c>
      <c r="F16" s="134">
        <f t="shared" si="0"/>
        <v>0.71999949344860192</v>
      </c>
      <c r="G16" s="134">
        <f t="shared" si="1"/>
        <v>0.98999138862623259</v>
      </c>
    </row>
    <row r="17" spans="1:12" s="179" customFormat="1" ht="24.95" customHeight="1" x14ac:dyDescent="0.2">
      <c r="A17" s="132">
        <v>5</v>
      </c>
      <c r="B17" s="133" t="s">
        <v>98</v>
      </c>
      <c r="C17" s="133">
        <v>97243</v>
      </c>
      <c r="D17" s="133">
        <v>79740</v>
      </c>
      <c r="E17" s="133">
        <v>97240</v>
      </c>
      <c r="F17" s="134">
        <f t="shared" si="0"/>
        <v>0.82000760980224796</v>
      </c>
      <c r="G17" s="134">
        <f t="shared" si="1"/>
        <v>0.9999691494503461</v>
      </c>
    </row>
    <row r="18" spans="1:12" s="179" customFormat="1" ht="24.95" customHeight="1" x14ac:dyDescent="0.2">
      <c r="A18" s="180">
        <v>6</v>
      </c>
      <c r="B18" s="133" t="s">
        <v>106</v>
      </c>
      <c r="C18" s="133">
        <v>32789</v>
      </c>
      <c r="D18" s="133">
        <v>26198.54</v>
      </c>
      <c r="E18" s="133">
        <v>32460</v>
      </c>
      <c r="F18" s="134">
        <f t="shared" si="0"/>
        <v>0.79900393424624117</v>
      </c>
      <c r="G18" s="134">
        <f t="shared" si="1"/>
        <v>0.98996614718350662</v>
      </c>
    </row>
    <row r="19" spans="1:12" s="179" customFormat="1" ht="24.95" customHeight="1" x14ac:dyDescent="0.2">
      <c r="A19" s="132">
        <v>7</v>
      </c>
      <c r="B19" s="133" t="s">
        <v>109</v>
      </c>
      <c r="C19" s="133">
        <v>4400</v>
      </c>
      <c r="D19" s="133">
        <v>4120</v>
      </c>
      <c r="E19" s="133">
        <v>4400</v>
      </c>
      <c r="F19" s="134">
        <f t="shared" si="0"/>
        <v>0.9363636363636364</v>
      </c>
      <c r="G19" s="134">
        <f t="shared" si="1"/>
        <v>1</v>
      </c>
    </row>
    <row r="20" spans="1:12" s="179" customFormat="1" ht="24.95" customHeight="1" x14ac:dyDescent="0.2">
      <c r="A20" s="180">
        <v>8</v>
      </c>
      <c r="B20" s="133" t="s">
        <v>110</v>
      </c>
      <c r="C20" s="133">
        <v>28552</v>
      </c>
      <c r="D20" s="133">
        <v>24125</v>
      </c>
      <c r="E20" s="133">
        <v>28552</v>
      </c>
      <c r="F20" s="134">
        <f t="shared" si="0"/>
        <v>0.84494956570467916</v>
      </c>
      <c r="G20" s="134">
        <f t="shared" si="1"/>
        <v>1</v>
      </c>
    </row>
    <row r="21" spans="1:12" s="179" customFormat="1" ht="24.95" customHeight="1" x14ac:dyDescent="0.2">
      <c r="A21" s="132">
        <v>9</v>
      </c>
      <c r="B21" s="133" t="s">
        <v>112</v>
      </c>
      <c r="C21" s="133">
        <v>654728</v>
      </c>
      <c r="D21" s="133">
        <v>484498</v>
      </c>
      <c r="E21" s="133">
        <v>641632</v>
      </c>
      <c r="F21" s="134">
        <f t="shared" si="0"/>
        <v>0.73999890030669224</v>
      </c>
      <c r="G21" s="134">
        <f t="shared" si="1"/>
        <v>0.97999780061338448</v>
      </c>
    </row>
    <row r="22" spans="1:12" s="179" customFormat="1" ht="24.95" customHeight="1" x14ac:dyDescent="0.2">
      <c r="A22" s="180">
        <v>10</v>
      </c>
      <c r="B22" s="133" t="s">
        <v>124</v>
      </c>
      <c r="C22" s="133">
        <v>100661</v>
      </c>
      <c r="D22" s="133">
        <v>81430</v>
      </c>
      <c r="E22" s="133">
        <v>99655</v>
      </c>
      <c r="F22" s="134">
        <f t="shared" si="0"/>
        <v>0.80895282184758743</v>
      </c>
      <c r="G22" s="134">
        <f t="shared" si="1"/>
        <v>0.99000605994377167</v>
      </c>
    </row>
    <row r="23" spans="1:12" s="179" customFormat="1" ht="24.95" customHeight="1" x14ac:dyDescent="0.2">
      <c r="A23" s="132">
        <v>11</v>
      </c>
      <c r="B23" s="133" t="s">
        <v>135</v>
      </c>
      <c r="C23" s="133">
        <v>56225</v>
      </c>
      <c r="D23" s="133">
        <v>45230</v>
      </c>
      <c r="E23" s="133">
        <v>55100</v>
      </c>
      <c r="F23" s="134">
        <f t="shared" si="0"/>
        <v>0.80444642063139171</v>
      </c>
      <c r="G23" s="134">
        <f t="shared" si="1"/>
        <v>0.97999110715873716</v>
      </c>
    </row>
    <row r="24" spans="1:12" s="179" customFormat="1" ht="27.75" customHeight="1" x14ac:dyDescent="0.2">
      <c r="A24" s="180">
        <v>12</v>
      </c>
      <c r="B24" s="133" t="s">
        <v>592</v>
      </c>
      <c r="C24" s="133">
        <v>1593656</v>
      </c>
      <c r="D24" s="133">
        <v>1241052</v>
      </c>
      <c r="E24" s="133">
        <v>1536290</v>
      </c>
      <c r="F24" s="134">
        <f t="shared" si="0"/>
        <v>0.77874522481639696</v>
      </c>
      <c r="G24" s="134">
        <f t="shared" si="1"/>
        <v>0.96400352397255118</v>
      </c>
    </row>
    <row r="25" spans="1:12" s="183" customFormat="1" ht="30" hidden="1" customHeight="1" x14ac:dyDescent="0.2">
      <c r="A25" s="181">
        <v>13</v>
      </c>
      <c r="B25" s="174" t="s">
        <v>593</v>
      </c>
      <c r="C25" s="174">
        <v>56818</v>
      </c>
      <c r="D25" s="174"/>
      <c r="E25" s="133">
        <v>0</v>
      </c>
      <c r="F25" s="182">
        <f t="shared" si="0"/>
        <v>0</v>
      </c>
      <c r="G25" s="134">
        <f t="shared" si="1"/>
        <v>0</v>
      </c>
    </row>
    <row r="26" spans="1:12" s="179" customFormat="1" ht="30" customHeight="1" x14ac:dyDescent="0.2">
      <c r="A26" s="132">
        <v>13</v>
      </c>
      <c r="B26" s="133" t="s">
        <v>151</v>
      </c>
      <c r="C26" s="133">
        <v>20000</v>
      </c>
      <c r="D26" s="133">
        <v>11626</v>
      </c>
      <c r="E26" s="133">
        <v>14400</v>
      </c>
      <c r="F26" s="134">
        <f t="shared" si="0"/>
        <v>0.58130000000000004</v>
      </c>
      <c r="G26" s="134">
        <f t="shared" si="1"/>
        <v>0.72</v>
      </c>
    </row>
    <row r="27" spans="1:12" s="179" customFormat="1" ht="30" customHeight="1" x14ac:dyDescent="0.2">
      <c r="A27" s="132">
        <v>14</v>
      </c>
      <c r="B27" s="133" t="s">
        <v>152</v>
      </c>
      <c r="C27" s="133">
        <v>40000</v>
      </c>
      <c r="D27" s="133">
        <v>9780</v>
      </c>
      <c r="E27" s="133">
        <v>23200</v>
      </c>
      <c r="F27" s="134">
        <f t="shared" si="0"/>
        <v>0.2445</v>
      </c>
      <c r="G27" s="134">
        <f t="shared" si="1"/>
        <v>0.57999999999999996</v>
      </c>
    </row>
    <row r="28" spans="1:12" s="179" customFormat="1" ht="33.75" customHeight="1" x14ac:dyDescent="0.2">
      <c r="A28" s="132">
        <v>15</v>
      </c>
      <c r="B28" s="133" t="s">
        <v>594</v>
      </c>
      <c r="C28" s="133">
        <v>1500</v>
      </c>
      <c r="D28" s="133">
        <v>1200</v>
      </c>
      <c r="E28" s="133">
        <v>1500</v>
      </c>
      <c r="F28" s="134">
        <f t="shared" si="0"/>
        <v>0.8</v>
      </c>
      <c r="G28" s="134">
        <f t="shared" si="1"/>
        <v>1</v>
      </c>
    </row>
    <row r="29" spans="1:12" s="179" customFormat="1" ht="30" customHeight="1" x14ac:dyDescent="0.2">
      <c r="A29" s="132">
        <v>16</v>
      </c>
      <c r="B29" s="133" t="s">
        <v>154</v>
      </c>
      <c r="C29" s="133">
        <v>1200</v>
      </c>
      <c r="D29" s="133">
        <v>1200</v>
      </c>
      <c r="E29" s="133">
        <v>1200</v>
      </c>
      <c r="F29" s="134">
        <f t="shared" si="0"/>
        <v>1</v>
      </c>
      <c r="G29" s="134">
        <f t="shared" si="1"/>
        <v>1</v>
      </c>
    </row>
    <row r="30" spans="1:12" s="179" customFormat="1" ht="30" customHeight="1" x14ac:dyDescent="0.2">
      <c r="A30" s="132">
        <v>17</v>
      </c>
      <c r="B30" s="133" t="s">
        <v>155</v>
      </c>
      <c r="C30" s="133">
        <v>20000</v>
      </c>
      <c r="D30" s="133">
        <v>11200.000000000002</v>
      </c>
      <c r="E30" s="133">
        <v>16000</v>
      </c>
      <c r="F30" s="134">
        <f t="shared" si="0"/>
        <v>0.56000000000000005</v>
      </c>
      <c r="G30" s="134">
        <f t="shared" si="1"/>
        <v>0.8</v>
      </c>
    </row>
    <row r="31" spans="1:12" s="179" customFormat="1" ht="30" customHeight="1" x14ac:dyDescent="0.2">
      <c r="A31" s="132">
        <v>18</v>
      </c>
      <c r="B31" s="133" t="s">
        <v>156</v>
      </c>
      <c r="C31" s="133">
        <v>170972</v>
      </c>
      <c r="D31" s="133">
        <v>69980</v>
      </c>
      <c r="E31" s="133">
        <v>147036</v>
      </c>
      <c r="F31" s="134">
        <f t="shared" si="0"/>
        <v>0.4093067870762464</v>
      </c>
      <c r="G31" s="134">
        <f t="shared" si="1"/>
        <v>0.86000046791287466</v>
      </c>
    </row>
    <row r="32" spans="1:12" s="184" customFormat="1" ht="30" hidden="1" customHeight="1" x14ac:dyDescent="0.2">
      <c r="A32" s="181">
        <v>20</v>
      </c>
      <c r="B32" s="174" t="s">
        <v>298</v>
      </c>
      <c r="C32" s="174">
        <v>14300</v>
      </c>
      <c r="D32" s="174"/>
      <c r="E32" s="133">
        <v>0</v>
      </c>
      <c r="F32" s="182">
        <f t="shared" si="0"/>
        <v>0</v>
      </c>
      <c r="G32" s="134">
        <f t="shared" si="1"/>
        <v>0</v>
      </c>
      <c r="H32" s="183"/>
      <c r="I32" s="183"/>
      <c r="J32" s="183"/>
      <c r="K32" s="183"/>
      <c r="L32" s="183"/>
    </row>
    <row r="33" spans="1:12" s="118" customFormat="1" ht="30" customHeight="1" x14ac:dyDescent="0.2">
      <c r="A33" s="132">
        <v>19</v>
      </c>
      <c r="B33" s="133" t="s">
        <v>595</v>
      </c>
      <c r="C33" s="133">
        <v>23000</v>
      </c>
      <c r="D33" s="133">
        <v>15850</v>
      </c>
      <c r="E33" s="133">
        <v>18860</v>
      </c>
      <c r="F33" s="134">
        <f t="shared" si="0"/>
        <v>0.68913043478260871</v>
      </c>
      <c r="G33" s="134">
        <f t="shared" si="1"/>
        <v>0.82</v>
      </c>
      <c r="H33" s="179"/>
      <c r="I33" s="179"/>
      <c r="J33" s="179"/>
      <c r="K33" s="179"/>
      <c r="L33" s="179"/>
    </row>
    <row r="34" spans="1:12" s="118" customFormat="1" ht="30" customHeight="1" x14ac:dyDescent="0.2">
      <c r="A34" s="132">
        <v>20</v>
      </c>
      <c r="B34" s="133" t="s">
        <v>596</v>
      </c>
      <c r="C34" s="133">
        <v>75270</v>
      </c>
      <c r="D34" s="133">
        <v>38660</v>
      </c>
      <c r="E34" s="133">
        <v>60220</v>
      </c>
      <c r="F34" s="134">
        <f t="shared" si="0"/>
        <v>0.51361764315132186</v>
      </c>
      <c r="G34" s="134">
        <f t="shared" si="1"/>
        <v>0.80005314202205391</v>
      </c>
      <c r="H34" s="179"/>
      <c r="I34" s="179"/>
      <c r="J34" s="179"/>
      <c r="K34" s="179"/>
      <c r="L34" s="179"/>
    </row>
    <row r="35" spans="1:12" s="118" customFormat="1" ht="30" customHeight="1" x14ac:dyDescent="0.2">
      <c r="A35" s="132">
        <v>21</v>
      </c>
      <c r="B35" s="133" t="s">
        <v>159</v>
      </c>
      <c r="C35" s="133">
        <v>48900</v>
      </c>
      <c r="D35" s="133">
        <v>48900</v>
      </c>
      <c r="E35" s="133">
        <v>48900</v>
      </c>
      <c r="F35" s="134">
        <f t="shared" si="0"/>
        <v>1</v>
      </c>
      <c r="G35" s="134">
        <f t="shared" si="1"/>
        <v>1</v>
      </c>
      <c r="H35" s="179"/>
      <c r="I35" s="179"/>
      <c r="J35" s="179"/>
      <c r="K35" s="179"/>
      <c r="L35" s="179"/>
    </row>
    <row r="36" spans="1:12" s="141" customFormat="1" ht="33" customHeight="1" x14ac:dyDescent="0.2">
      <c r="A36" s="137" t="s">
        <v>160</v>
      </c>
      <c r="B36" s="138" t="s">
        <v>161</v>
      </c>
      <c r="C36" s="138">
        <v>1592000</v>
      </c>
      <c r="D36" s="138">
        <v>797000</v>
      </c>
      <c r="E36" s="138">
        <v>797000</v>
      </c>
      <c r="F36" s="139">
        <f>D36/C36</f>
        <v>0.50062814070351758</v>
      </c>
      <c r="G36" s="177">
        <f>E36/C36</f>
        <v>0.50062814070351758</v>
      </c>
      <c r="H36" s="140"/>
      <c r="I36" s="140"/>
      <c r="J36" s="140"/>
      <c r="K36" s="140"/>
      <c r="L36" s="140"/>
    </row>
    <row r="37" spans="1:12" s="143" customFormat="1" ht="24.95" customHeight="1" x14ac:dyDescent="0.2">
      <c r="A37" s="137" t="s">
        <v>237</v>
      </c>
      <c r="B37" s="138" t="s">
        <v>238</v>
      </c>
      <c r="C37" s="138">
        <v>213600</v>
      </c>
      <c r="D37" s="138"/>
      <c r="E37" s="138">
        <v>213600</v>
      </c>
      <c r="F37" s="139">
        <f>D37/C37</f>
        <v>0</v>
      </c>
      <c r="G37" s="177">
        <f t="shared" ref="G37:G50" si="2">E37/C37</f>
        <v>1</v>
      </c>
      <c r="H37" s="142"/>
      <c r="I37" s="142"/>
      <c r="J37" s="142"/>
      <c r="K37" s="142"/>
      <c r="L37" s="142"/>
    </row>
    <row r="38" spans="1:12" s="143" customFormat="1" ht="24.95" customHeight="1" x14ac:dyDescent="0.2">
      <c r="A38" s="137" t="s">
        <v>239</v>
      </c>
      <c r="B38" s="138" t="s">
        <v>240</v>
      </c>
      <c r="C38" s="138">
        <v>331220</v>
      </c>
      <c r="D38" s="138">
        <v>99100</v>
      </c>
      <c r="E38" s="138">
        <v>140500</v>
      </c>
      <c r="F38" s="139">
        <f>D38/C38</f>
        <v>0.29919690839925123</v>
      </c>
      <c r="G38" s="177">
        <f t="shared" si="2"/>
        <v>0.42418936054586076</v>
      </c>
      <c r="H38" s="142"/>
      <c r="I38" s="142"/>
      <c r="J38" s="142"/>
      <c r="K38" s="142"/>
      <c r="L38" s="142"/>
    </row>
    <row r="39" spans="1:12" s="143" customFormat="1" ht="33" customHeight="1" x14ac:dyDescent="0.2">
      <c r="A39" s="137" t="s">
        <v>241</v>
      </c>
      <c r="B39" s="138" t="s">
        <v>242</v>
      </c>
      <c r="C39" s="138">
        <v>1340</v>
      </c>
      <c r="D39" s="138">
        <v>1340</v>
      </c>
      <c r="E39" s="138">
        <v>1340</v>
      </c>
      <c r="F39" s="139"/>
      <c r="G39" s="177">
        <f t="shared" si="2"/>
        <v>1</v>
      </c>
      <c r="H39" s="142"/>
      <c r="I39" s="142"/>
      <c r="J39" s="142"/>
      <c r="K39" s="142"/>
      <c r="L39" s="142"/>
    </row>
    <row r="40" spans="1:12" s="143" customFormat="1" ht="30" customHeight="1" x14ac:dyDescent="0.2">
      <c r="A40" s="137" t="s">
        <v>243</v>
      </c>
      <c r="B40" s="138" t="s">
        <v>300</v>
      </c>
      <c r="C40" s="138">
        <v>90000</v>
      </c>
      <c r="D40" s="138">
        <v>46134</v>
      </c>
      <c r="E40" s="138">
        <v>76000</v>
      </c>
      <c r="F40" s="139">
        <f t="shared" ref="F40:F50" si="3">D40/C40</f>
        <v>0.51259999999999994</v>
      </c>
      <c r="G40" s="177">
        <f t="shared" si="2"/>
        <v>0.84444444444444444</v>
      </c>
      <c r="H40" s="142"/>
      <c r="I40" s="142"/>
      <c r="J40" s="142"/>
      <c r="K40" s="142"/>
      <c r="L40" s="142"/>
    </row>
    <row r="41" spans="1:12" s="143" customFormat="1" ht="32.25" customHeight="1" x14ac:dyDescent="0.2">
      <c r="A41" s="137" t="s">
        <v>244</v>
      </c>
      <c r="B41" s="138" t="s">
        <v>597</v>
      </c>
      <c r="C41" s="138">
        <v>409860</v>
      </c>
      <c r="D41" s="138">
        <v>26694</v>
      </c>
      <c r="E41" s="138">
        <v>33000</v>
      </c>
      <c r="F41" s="139">
        <f t="shared" si="3"/>
        <v>6.5129556433904265E-2</v>
      </c>
      <c r="G41" s="177">
        <f t="shared" si="2"/>
        <v>8.0515297906602251E-2</v>
      </c>
      <c r="H41" s="142"/>
      <c r="I41" s="142"/>
      <c r="J41" s="142"/>
      <c r="K41" s="142"/>
      <c r="L41" s="142"/>
    </row>
    <row r="42" spans="1:12" s="143" customFormat="1" ht="33" customHeight="1" x14ac:dyDescent="0.2">
      <c r="A42" s="137" t="s">
        <v>245</v>
      </c>
      <c r="B42" s="138" t="s">
        <v>598</v>
      </c>
      <c r="C42" s="138">
        <v>9000</v>
      </c>
      <c r="D42" s="138">
        <v>9000</v>
      </c>
      <c r="E42" s="138">
        <v>9000</v>
      </c>
      <c r="F42" s="139">
        <f t="shared" si="3"/>
        <v>1</v>
      </c>
      <c r="G42" s="177">
        <f t="shared" si="2"/>
        <v>1</v>
      </c>
      <c r="H42" s="142"/>
      <c r="I42" s="142"/>
      <c r="J42" s="142"/>
      <c r="K42" s="142"/>
      <c r="L42" s="142"/>
    </row>
    <row r="43" spans="1:12" s="143" customFormat="1" ht="33" customHeight="1" x14ac:dyDescent="0.2">
      <c r="A43" s="137" t="s">
        <v>246</v>
      </c>
      <c r="B43" s="138" t="s">
        <v>599</v>
      </c>
      <c r="C43" s="138">
        <v>5000</v>
      </c>
      <c r="D43" s="138"/>
      <c r="E43" s="138">
        <v>5000</v>
      </c>
      <c r="F43" s="139"/>
      <c r="G43" s="177">
        <f t="shared" si="2"/>
        <v>1</v>
      </c>
      <c r="H43" s="142"/>
      <c r="I43" s="142"/>
      <c r="J43" s="142"/>
      <c r="K43" s="142"/>
      <c r="L43" s="142"/>
    </row>
    <row r="44" spans="1:12" s="143" customFormat="1" ht="33" customHeight="1" x14ac:dyDescent="0.2">
      <c r="A44" s="137" t="s">
        <v>247</v>
      </c>
      <c r="B44" s="138" t="s">
        <v>248</v>
      </c>
      <c r="C44" s="138">
        <v>10000</v>
      </c>
      <c r="D44" s="138"/>
      <c r="E44" s="138"/>
      <c r="F44" s="139">
        <f t="shared" si="3"/>
        <v>0</v>
      </c>
      <c r="G44" s="177">
        <f t="shared" si="2"/>
        <v>0</v>
      </c>
      <c r="H44" s="142"/>
      <c r="I44" s="142"/>
      <c r="J44" s="142"/>
      <c r="K44" s="142"/>
      <c r="L44" s="142"/>
    </row>
    <row r="45" spans="1:12" s="143" customFormat="1" ht="24.95" customHeight="1" x14ac:dyDescent="0.2">
      <c r="A45" s="137" t="s">
        <v>249</v>
      </c>
      <c r="B45" s="138" t="s">
        <v>600</v>
      </c>
      <c r="C45" s="138">
        <v>11000</v>
      </c>
      <c r="D45" s="138">
        <v>11000</v>
      </c>
      <c r="E45" s="138">
        <v>11000</v>
      </c>
      <c r="F45" s="139">
        <f t="shared" si="3"/>
        <v>1</v>
      </c>
      <c r="G45" s="177">
        <f t="shared" si="2"/>
        <v>1</v>
      </c>
      <c r="H45" s="142"/>
      <c r="I45" s="142"/>
      <c r="J45" s="142"/>
      <c r="K45" s="142"/>
      <c r="L45" s="142"/>
    </row>
    <row r="46" spans="1:12" s="143" customFormat="1" ht="33" customHeight="1" x14ac:dyDescent="0.2">
      <c r="A46" s="137" t="s">
        <v>251</v>
      </c>
      <c r="B46" s="138" t="s">
        <v>601</v>
      </c>
      <c r="C46" s="138">
        <v>177788</v>
      </c>
      <c r="D46" s="138">
        <v>19100</v>
      </c>
      <c r="E46" s="138">
        <v>55000</v>
      </c>
      <c r="F46" s="139">
        <f t="shared" si="3"/>
        <v>0.10743132269894481</v>
      </c>
      <c r="G46" s="177">
        <f t="shared" si="2"/>
        <v>0.30935721196031229</v>
      </c>
      <c r="H46" s="142"/>
      <c r="I46" s="142"/>
      <c r="J46" s="142"/>
      <c r="K46" s="142"/>
      <c r="L46" s="142"/>
    </row>
    <row r="47" spans="1:12" s="143" customFormat="1" ht="32.25" customHeight="1" x14ac:dyDescent="0.2">
      <c r="A47" s="137" t="s">
        <v>252</v>
      </c>
      <c r="B47" s="138" t="s">
        <v>602</v>
      </c>
      <c r="C47" s="138">
        <v>6850</v>
      </c>
      <c r="D47" s="138">
        <v>6850</v>
      </c>
      <c r="E47" s="138">
        <v>6850</v>
      </c>
      <c r="F47" s="139">
        <f t="shared" si="3"/>
        <v>1</v>
      </c>
      <c r="G47" s="177">
        <f t="shared" si="2"/>
        <v>1</v>
      </c>
      <c r="H47" s="142"/>
      <c r="I47" s="142"/>
      <c r="J47" s="142"/>
      <c r="K47" s="142"/>
      <c r="L47" s="142"/>
    </row>
    <row r="48" spans="1:12" s="143" customFormat="1" ht="32.25" customHeight="1" x14ac:dyDescent="0.2">
      <c r="A48" s="137" t="s">
        <v>437</v>
      </c>
      <c r="B48" s="138" t="s">
        <v>253</v>
      </c>
      <c r="C48" s="138">
        <v>25000</v>
      </c>
      <c r="D48" s="138">
        <v>10200</v>
      </c>
      <c r="E48" s="138">
        <v>25000</v>
      </c>
      <c r="F48" s="139">
        <f t="shared" si="3"/>
        <v>0.40799999999999997</v>
      </c>
      <c r="G48" s="177">
        <f t="shared" si="2"/>
        <v>1</v>
      </c>
      <c r="H48" s="142"/>
      <c r="I48" s="142"/>
      <c r="J48" s="142"/>
      <c r="K48" s="142"/>
      <c r="L48" s="142"/>
    </row>
    <row r="49" spans="1:12" s="143" customFormat="1" ht="24.95" customHeight="1" x14ac:dyDescent="0.2">
      <c r="A49" s="137" t="s">
        <v>447</v>
      </c>
      <c r="B49" s="138" t="s">
        <v>254</v>
      </c>
      <c r="C49" s="138">
        <v>10000</v>
      </c>
      <c r="D49" s="138"/>
      <c r="E49" s="138">
        <v>10000</v>
      </c>
      <c r="F49" s="139">
        <f t="shared" si="3"/>
        <v>0</v>
      </c>
      <c r="G49" s="177">
        <f t="shared" si="2"/>
        <v>1</v>
      </c>
      <c r="H49" s="142"/>
      <c r="I49" s="142"/>
      <c r="J49" s="142"/>
      <c r="K49" s="142"/>
      <c r="L49" s="142"/>
    </row>
    <row r="50" spans="1:12" s="143" customFormat="1" ht="24.95" customHeight="1" x14ac:dyDescent="0.2">
      <c r="A50" s="137" t="s">
        <v>603</v>
      </c>
      <c r="B50" s="138" t="s">
        <v>255</v>
      </c>
      <c r="C50" s="138">
        <v>232519</v>
      </c>
      <c r="D50" s="138">
        <f>87599+59601</f>
        <v>147200</v>
      </c>
      <c r="E50" s="138">
        <v>212918</v>
      </c>
      <c r="F50" s="139">
        <f t="shared" si="3"/>
        <v>0.6330665450995403</v>
      </c>
      <c r="G50" s="177">
        <f t="shared" si="2"/>
        <v>0.91570151256456467</v>
      </c>
      <c r="H50" s="142"/>
      <c r="I50" s="142"/>
      <c r="J50" s="142"/>
      <c r="K50" s="142"/>
      <c r="L50" s="142"/>
    </row>
    <row r="51" spans="1:12" ht="33.75" customHeight="1" x14ac:dyDescent="0.3">
      <c r="A51" s="144"/>
      <c r="B51" s="145"/>
      <c r="C51" s="223" t="s">
        <v>604</v>
      </c>
      <c r="D51" s="223"/>
      <c r="E51" s="223"/>
      <c r="F51" s="223"/>
      <c r="G51" s="223"/>
    </row>
    <row r="52" spans="1:12" ht="21.75" customHeight="1" x14ac:dyDescent="0.2"/>
    <row r="53" spans="1:12" ht="20.25" customHeight="1" x14ac:dyDescent="0.2"/>
    <row r="54" spans="1:12" ht="17.25" customHeight="1" x14ac:dyDescent="0.2"/>
  </sheetData>
  <mergeCells count="9">
    <mergeCell ref="D4:E4"/>
    <mergeCell ref="A1:G1"/>
    <mergeCell ref="A2:G2"/>
    <mergeCell ref="C51:G51"/>
    <mergeCell ref="D3:G3"/>
    <mergeCell ref="A4:A5"/>
    <mergeCell ref="B4:B5"/>
    <mergeCell ref="C4:C5"/>
    <mergeCell ref="F4:G4"/>
  </mergeCells>
  <printOptions horizontalCentered="1"/>
  <pageMargins left="0.75" right="0.25" top="0.75" bottom="0.75" header="0.3" footer="0.3"/>
  <pageSetup paperSize="9" scale="98" orientation="portrait" r:id="rId1"/>
  <headerFooter>
    <oddFooter>&amp;C&amp;P/2 (PL Chi NSNN 2016)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workbookViewId="0">
      <selection activeCell="C7" sqref="C7"/>
    </sheetView>
  </sheetViews>
  <sheetFormatPr defaultColWidth="8.25" defaultRowHeight="15.75" x14ac:dyDescent="0.25"/>
  <cols>
    <col min="1" max="1" width="9.25" style="81" customWidth="1"/>
    <col min="2" max="2" width="51.75" style="81" customWidth="1"/>
    <col min="3" max="6" width="14.75" style="81" customWidth="1"/>
    <col min="7" max="16384" width="8.25" style="81"/>
  </cols>
  <sheetData>
    <row r="1" spans="1:21" ht="19.5" customHeight="1" x14ac:dyDescent="0.25">
      <c r="A1" s="278" t="s">
        <v>569</v>
      </c>
      <c r="B1" s="278"/>
      <c r="C1" s="278"/>
      <c r="D1" s="278"/>
      <c r="E1" s="278"/>
      <c r="F1" s="278"/>
    </row>
    <row r="2" spans="1:21" ht="21.75" customHeight="1" x14ac:dyDescent="0.25">
      <c r="A2" s="278" t="s">
        <v>466</v>
      </c>
      <c r="B2" s="278"/>
      <c r="C2" s="278"/>
      <c r="D2" s="278"/>
      <c r="E2" s="278"/>
      <c r="F2" s="278"/>
    </row>
    <row r="3" spans="1:21" ht="21.75" customHeight="1" x14ac:dyDescent="0.25">
      <c r="A3" s="269" t="s">
        <v>796</v>
      </c>
      <c r="B3" s="269"/>
      <c r="C3" s="269"/>
      <c r="D3" s="269"/>
      <c r="E3" s="269"/>
      <c r="F3" s="269"/>
      <c r="G3" s="87"/>
      <c r="H3" s="87"/>
      <c r="I3" s="87"/>
      <c r="J3" s="87"/>
      <c r="K3" s="87"/>
      <c r="L3" s="87"/>
      <c r="M3" s="87"/>
      <c r="N3" s="87"/>
      <c r="O3" s="87"/>
      <c r="P3" s="87"/>
      <c r="Q3" s="87"/>
      <c r="R3" s="87"/>
      <c r="S3" s="87"/>
      <c r="T3" s="87"/>
      <c r="U3" s="87"/>
    </row>
    <row r="4" spans="1:21" s="119" customFormat="1" ht="19.5" customHeight="1" x14ac:dyDescent="0.25">
      <c r="E4" s="279" t="s">
        <v>469</v>
      </c>
      <c r="F4" s="279"/>
    </row>
    <row r="5" spans="1:21" s="120" customFormat="1" ht="39" customHeight="1" x14ac:dyDescent="0.25">
      <c r="A5" s="86" t="s">
        <v>44</v>
      </c>
      <c r="B5" s="86" t="s">
        <v>349</v>
      </c>
      <c r="C5" s="86" t="s">
        <v>258</v>
      </c>
      <c r="D5" s="86" t="s">
        <v>350</v>
      </c>
      <c r="E5" s="86" t="s">
        <v>276</v>
      </c>
      <c r="F5" s="86" t="s">
        <v>277</v>
      </c>
    </row>
    <row r="6" spans="1:21" s="119" customFormat="1" ht="29.1" customHeight="1" x14ac:dyDescent="0.25">
      <c r="A6" s="121">
        <v>1</v>
      </c>
      <c r="B6" s="123" t="s">
        <v>458</v>
      </c>
      <c r="C6" s="123">
        <f>D6+E6+F6</f>
        <v>265700</v>
      </c>
      <c r="D6" s="123">
        <v>131799</v>
      </c>
      <c r="E6" s="123">
        <v>133901</v>
      </c>
      <c r="F6" s="123">
        <v>0</v>
      </c>
    </row>
    <row r="7" spans="1:21" s="119" customFormat="1" ht="29.1" customHeight="1" x14ac:dyDescent="0.25">
      <c r="A7" s="121" t="s">
        <v>351</v>
      </c>
      <c r="B7" s="123" t="s">
        <v>459</v>
      </c>
      <c r="C7" s="123">
        <f>D7+E7+F7</f>
        <v>146135</v>
      </c>
      <c r="D7" s="123">
        <v>71500</v>
      </c>
      <c r="E7" s="123">
        <v>74635</v>
      </c>
      <c r="F7" s="123">
        <v>0</v>
      </c>
    </row>
    <row r="8" spans="1:21" s="119" customFormat="1" ht="29.1" customHeight="1" x14ac:dyDescent="0.25">
      <c r="A8" s="121" t="s">
        <v>351</v>
      </c>
      <c r="B8" s="123" t="s">
        <v>460</v>
      </c>
      <c r="C8" s="123">
        <f t="shared" ref="C8:C14" si="0">D8+E8+F8</f>
        <v>119565</v>
      </c>
      <c r="D8" s="123">
        <v>60299</v>
      </c>
      <c r="E8" s="123">
        <v>59266</v>
      </c>
      <c r="F8" s="123">
        <v>0</v>
      </c>
    </row>
    <row r="9" spans="1:21" s="119" customFormat="1" ht="29.1" customHeight="1" x14ac:dyDescent="0.25">
      <c r="A9" s="121">
        <v>2</v>
      </c>
      <c r="B9" s="123" t="s">
        <v>461</v>
      </c>
      <c r="C9" s="123">
        <f t="shared" si="0"/>
        <v>71700</v>
      </c>
      <c r="D9" s="123">
        <v>15000</v>
      </c>
      <c r="E9" s="123">
        <v>56700</v>
      </c>
      <c r="F9" s="123">
        <v>0</v>
      </c>
    </row>
    <row r="10" spans="1:21" s="119" customFormat="1" ht="39.75" customHeight="1" x14ac:dyDescent="0.25">
      <c r="A10" s="121">
        <v>3</v>
      </c>
      <c r="B10" s="123" t="s">
        <v>462</v>
      </c>
      <c r="C10" s="123">
        <f t="shared" si="0"/>
        <v>22000</v>
      </c>
      <c r="D10" s="123">
        <v>0</v>
      </c>
      <c r="E10" s="123">
        <v>22000</v>
      </c>
      <c r="F10" s="123">
        <v>0</v>
      </c>
    </row>
    <row r="11" spans="1:21" s="119" customFormat="1" ht="29.1" customHeight="1" x14ac:dyDescent="0.25">
      <c r="A11" s="121">
        <v>4</v>
      </c>
      <c r="B11" s="123" t="s">
        <v>463</v>
      </c>
      <c r="C11" s="123">
        <f t="shared" si="0"/>
        <v>0</v>
      </c>
      <c r="D11" s="123">
        <v>0</v>
      </c>
      <c r="E11" s="123">
        <v>0</v>
      </c>
      <c r="F11" s="123">
        <v>0</v>
      </c>
    </row>
    <row r="12" spans="1:21" s="119" customFormat="1" ht="29.1" customHeight="1" x14ac:dyDescent="0.25">
      <c r="A12" s="121">
        <v>5</v>
      </c>
      <c r="B12" s="123" t="s">
        <v>464</v>
      </c>
      <c r="C12" s="123">
        <f t="shared" si="0"/>
        <v>24000</v>
      </c>
      <c r="D12" s="123">
        <v>24000</v>
      </c>
      <c r="E12" s="123">
        <v>0</v>
      </c>
      <c r="F12" s="123">
        <v>0</v>
      </c>
    </row>
    <row r="13" spans="1:21" s="119" customFormat="1" ht="29.1" customHeight="1" x14ac:dyDescent="0.25">
      <c r="A13" s="121">
        <v>6</v>
      </c>
      <c r="B13" s="123" t="s">
        <v>465</v>
      </c>
      <c r="C13" s="123">
        <f t="shared" si="0"/>
        <v>616600</v>
      </c>
      <c r="D13" s="123">
        <v>71576</v>
      </c>
      <c r="E13" s="123">
        <v>223993</v>
      </c>
      <c r="F13" s="123">
        <v>321031</v>
      </c>
    </row>
    <row r="14" spans="1:21" s="119" customFormat="1" ht="29.1" customHeight="1" x14ac:dyDescent="0.25">
      <c r="A14" s="124"/>
      <c r="B14" s="124" t="s">
        <v>258</v>
      </c>
      <c r="C14" s="122">
        <f t="shared" si="0"/>
        <v>1000000</v>
      </c>
      <c r="D14" s="122">
        <v>242375</v>
      </c>
      <c r="E14" s="122">
        <v>436594</v>
      </c>
      <c r="F14" s="122">
        <v>321031</v>
      </c>
    </row>
    <row r="15" spans="1:21" ht="24" customHeight="1" x14ac:dyDescent="0.25">
      <c r="A15" s="82"/>
    </row>
    <row r="16" spans="1:21" ht="24" customHeight="1" x14ac:dyDescent="0.25">
      <c r="A16" s="82"/>
      <c r="C16" s="280" t="s">
        <v>604</v>
      </c>
      <c r="D16" s="280"/>
      <c r="E16" s="280"/>
      <c r="F16" s="280"/>
    </row>
    <row r="17" spans="1:1" ht="24" customHeight="1" x14ac:dyDescent="0.25">
      <c r="A17" s="82"/>
    </row>
    <row r="18" spans="1:1" ht="24" customHeight="1" x14ac:dyDescent="0.25">
      <c r="A18" s="82"/>
    </row>
    <row r="19" spans="1:1" ht="24" customHeight="1" x14ac:dyDescent="0.25">
      <c r="A19" s="82"/>
    </row>
    <row r="20" spans="1:1" ht="24" customHeight="1" x14ac:dyDescent="0.25">
      <c r="A20" s="82"/>
    </row>
    <row r="21" spans="1:1" ht="24" customHeight="1" x14ac:dyDescent="0.25">
      <c r="A21" s="82"/>
    </row>
    <row r="22" spans="1:1" ht="24" customHeight="1" x14ac:dyDescent="0.25">
      <c r="A22" s="82"/>
    </row>
    <row r="25" spans="1:1" ht="15.6" hidden="1" customHeight="1" x14ac:dyDescent="0.25"/>
    <row r="26" spans="1:1" ht="15.6" hidden="1" customHeight="1" x14ac:dyDescent="0.25"/>
    <row r="27" spans="1:1" ht="15.6" hidden="1" customHeight="1" x14ac:dyDescent="0.25"/>
  </sheetData>
  <mergeCells count="5">
    <mergeCell ref="A1:F1"/>
    <mergeCell ref="A2:F2"/>
    <mergeCell ref="A3:F3"/>
    <mergeCell ref="E4:F4"/>
    <mergeCell ref="C16:F16"/>
  </mergeCells>
  <phoneticPr fontId="0" type="noConversion"/>
  <printOptions horizontalCentered="1"/>
  <pageMargins left="0.5" right="0.5" top="0.8" bottom="0.7" header="0.5" footer="0.2"/>
  <pageSetup paperSize="9" orientation="landscape" r:id="rId1"/>
  <headerFooter alignWithMargins="0">
    <oddFooter>&amp;C&amp;P/1 (PL09)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3"/>
  <sheetViews>
    <sheetView zoomScale="90" workbookViewId="0">
      <pane xSplit="1" ySplit="8" topLeftCell="B9" activePane="bottomRight" state="frozen"/>
      <selection pane="topRight" activeCell="B1" sqref="B1"/>
      <selection pane="bottomLeft" activeCell="A9" sqref="A9"/>
      <selection pane="bottomRight" activeCell="D5" sqref="D5:D7"/>
    </sheetView>
  </sheetViews>
  <sheetFormatPr defaultColWidth="9" defaultRowHeight="20.25" x14ac:dyDescent="0.3"/>
  <cols>
    <col min="1" max="1" width="53.25" style="16" customWidth="1"/>
    <col min="2" max="2" width="11.625" style="17" customWidth="1"/>
    <col min="3" max="4" width="11.625" style="15" customWidth="1"/>
    <col min="5" max="7" width="10.625" style="15" customWidth="1"/>
    <col min="8" max="9" width="8.625" style="15" customWidth="1"/>
    <col min="10" max="10" width="12.75" style="15" customWidth="1"/>
    <col min="11" max="11" width="13.875" style="15" customWidth="1"/>
    <col min="12" max="12" width="12.25" style="15" customWidth="1"/>
    <col min="13" max="16384" width="9" style="15"/>
  </cols>
  <sheetData>
    <row r="1" spans="1:9" s="5" customFormat="1" ht="21" customHeight="1" x14ac:dyDescent="0.25">
      <c r="A1" s="230" t="s">
        <v>290</v>
      </c>
      <c r="B1" s="230"/>
      <c r="C1" s="230"/>
      <c r="D1" s="230"/>
      <c r="E1" s="230"/>
      <c r="F1" s="230"/>
      <c r="G1" s="230"/>
      <c r="H1" s="230"/>
      <c r="I1" s="230"/>
    </row>
    <row r="2" spans="1:9" s="5" customFormat="1" ht="21.75" customHeight="1" x14ac:dyDescent="0.25">
      <c r="A2" s="230" t="s">
        <v>457</v>
      </c>
      <c r="B2" s="230"/>
      <c r="C2" s="230"/>
      <c r="D2" s="230"/>
      <c r="E2" s="230"/>
      <c r="F2" s="230"/>
      <c r="G2" s="230"/>
      <c r="H2" s="230"/>
      <c r="I2" s="230"/>
    </row>
    <row r="3" spans="1:9" s="5" customFormat="1" ht="23.25" customHeight="1" x14ac:dyDescent="0.25">
      <c r="A3" s="237" t="s">
        <v>796</v>
      </c>
      <c r="B3" s="237"/>
      <c r="C3" s="237"/>
      <c r="D3" s="237"/>
      <c r="E3" s="237"/>
      <c r="F3" s="237"/>
      <c r="G3" s="237"/>
      <c r="H3" s="237"/>
      <c r="I3" s="237"/>
    </row>
    <row r="4" spans="1:9" s="20" customFormat="1" ht="21.75" customHeight="1" x14ac:dyDescent="0.25">
      <c r="A4" s="18"/>
      <c r="B4" s="19"/>
      <c r="G4" s="284" t="s">
        <v>469</v>
      </c>
      <c r="H4" s="284"/>
      <c r="I4" s="284"/>
    </row>
    <row r="5" spans="1:9" s="6" customFormat="1" ht="31.5" customHeight="1" x14ac:dyDescent="0.25">
      <c r="A5" s="226" t="s">
        <v>0</v>
      </c>
      <c r="B5" s="226" t="s">
        <v>405</v>
      </c>
      <c r="C5" s="233" t="s">
        <v>406</v>
      </c>
      <c r="D5" s="233" t="s">
        <v>407</v>
      </c>
      <c r="E5" s="226" t="s">
        <v>408</v>
      </c>
      <c r="F5" s="226"/>
      <c r="G5" s="226"/>
      <c r="H5" s="235" t="s">
        <v>409</v>
      </c>
      <c r="I5" s="236"/>
    </row>
    <row r="6" spans="1:9" s="6" customFormat="1" ht="26.25" customHeight="1" x14ac:dyDescent="0.25">
      <c r="A6" s="231"/>
      <c r="B6" s="231"/>
      <c r="C6" s="234"/>
      <c r="D6" s="234"/>
      <c r="E6" s="226" t="s">
        <v>1</v>
      </c>
      <c r="F6" s="228" t="s">
        <v>2</v>
      </c>
      <c r="G6" s="229"/>
      <c r="H6" s="226" t="s">
        <v>304</v>
      </c>
      <c r="I6" s="226" t="s">
        <v>411</v>
      </c>
    </row>
    <row r="7" spans="1:9" s="6" customFormat="1" ht="33" customHeight="1" x14ac:dyDescent="0.25">
      <c r="A7" s="232"/>
      <c r="B7" s="232"/>
      <c r="C7" s="234"/>
      <c r="D7" s="234"/>
      <c r="E7" s="227"/>
      <c r="F7" s="7" t="s">
        <v>3</v>
      </c>
      <c r="G7" s="7" t="s">
        <v>40</v>
      </c>
      <c r="H7" s="227"/>
      <c r="I7" s="227"/>
    </row>
    <row r="8" spans="1:9" s="6" customFormat="1" ht="21.75" customHeight="1" x14ac:dyDescent="0.25">
      <c r="A8" s="8" t="s">
        <v>4</v>
      </c>
      <c r="B8" s="8">
        <v>1</v>
      </c>
      <c r="C8" s="9">
        <v>2</v>
      </c>
      <c r="D8" s="9">
        <v>3</v>
      </c>
      <c r="E8" s="9">
        <v>4</v>
      </c>
      <c r="F8" s="9">
        <v>5</v>
      </c>
      <c r="G8" s="9">
        <v>6</v>
      </c>
      <c r="H8" s="9">
        <v>7</v>
      </c>
      <c r="I8" s="9">
        <v>8</v>
      </c>
    </row>
    <row r="9" spans="1:9" s="94" customFormat="1" ht="24.95" customHeight="1" x14ac:dyDescent="0.25">
      <c r="A9" s="63" t="s">
        <v>30</v>
      </c>
      <c r="B9" s="64">
        <v>7500000</v>
      </c>
      <c r="C9" s="64">
        <v>5450000</v>
      </c>
      <c r="D9" s="64">
        <f>D10+D24+D26</f>
        <v>5777000</v>
      </c>
      <c r="E9" s="64">
        <f t="shared" ref="E9:G9" si="0">E10+E24+E26</f>
        <v>6000000</v>
      </c>
      <c r="F9" s="64">
        <f t="shared" si="0"/>
        <v>3303300</v>
      </c>
      <c r="G9" s="64">
        <f t="shared" si="0"/>
        <v>2696700</v>
      </c>
      <c r="H9" s="13">
        <f>E9/B9</f>
        <v>0.8</v>
      </c>
      <c r="I9" s="13">
        <f>E9/C9</f>
        <v>1.1009174311926606</v>
      </c>
    </row>
    <row r="10" spans="1:9" s="96" customFormat="1" ht="24.95" customHeight="1" x14ac:dyDescent="0.25">
      <c r="A10" s="95" t="s">
        <v>5</v>
      </c>
      <c r="B10" s="11">
        <v>6994000</v>
      </c>
      <c r="C10" s="11"/>
      <c r="D10" s="11">
        <f>D11+D14+D15+D16+D17+D18+D19+D20+D21+D22+D23</f>
        <v>5631500</v>
      </c>
      <c r="E10" s="11">
        <f>E11+E14+E15+E16+E17+E18+E19+E20+E21+E22+E23</f>
        <v>5855000</v>
      </c>
      <c r="F10" s="11">
        <f>F11+F14+F15+F16+F17+F18+F19+F20+F21+F22</f>
        <v>3251452</v>
      </c>
      <c r="G10" s="11">
        <f>G11+G14+G15+G16+G17+G18+G19+G20+G21+G22+G23</f>
        <v>2603548</v>
      </c>
      <c r="H10" s="10">
        <f t="shared" ref="H10:H52" si="1">E10/B10</f>
        <v>0.83714612525021448</v>
      </c>
      <c r="I10" s="10"/>
    </row>
    <row r="11" spans="1:9" s="20" customFormat="1" ht="24.95" customHeight="1" x14ac:dyDescent="0.25">
      <c r="A11" s="97" t="s">
        <v>6</v>
      </c>
      <c r="B11" s="3">
        <v>3025000</v>
      </c>
      <c r="C11" s="98"/>
      <c r="D11" s="3">
        <f>D12+D13</f>
        <v>2299000</v>
      </c>
      <c r="E11" s="11">
        <f>F11+G11</f>
        <v>2270872</v>
      </c>
      <c r="F11" s="97">
        <f>F12+F13</f>
        <v>2154842</v>
      </c>
      <c r="G11" s="97">
        <f>G12+G13</f>
        <v>116030</v>
      </c>
      <c r="H11" s="10">
        <f t="shared" si="1"/>
        <v>0.75070148760330579</v>
      </c>
      <c r="I11" s="10"/>
    </row>
    <row r="12" spans="1:9" s="20" customFormat="1" ht="24.95" customHeight="1" x14ac:dyDescent="0.25">
      <c r="A12" s="97" t="s">
        <v>7</v>
      </c>
      <c r="B12" s="3">
        <v>1510000</v>
      </c>
      <c r="C12" s="98"/>
      <c r="D12" s="3">
        <v>1266700</v>
      </c>
      <c r="E12" s="11">
        <f>F12+G12</f>
        <v>1256872</v>
      </c>
      <c r="F12" s="11">
        <v>1179842</v>
      </c>
      <c r="G12" s="97">
        <v>77030</v>
      </c>
      <c r="H12" s="10"/>
      <c r="I12" s="10"/>
    </row>
    <row r="13" spans="1:9" s="20" customFormat="1" ht="24.95" customHeight="1" x14ac:dyDescent="0.25">
      <c r="A13" s="97" t="s">
        <v>8</v>
      </c>
      <c r="B13" s="3">
        <v>1515000</v>
      </c>
      <c r="C13" s="98"/>
      <c r="D13" s="3">
        <v>1032300</v>
      </c>
      <c r="E13" s="11">
        <f t="shared" ref="E13:E26" si="2">F13+G13</f>
        <v>1014000</v>
      </c>
      <c r="F13" s="97">
        <v>975000</v>
      </c>
      <c r="G13" s="97">
        <v>39000</v>
      </c>
      <c r="H13" s="10"/>
      <c r="I13" s="10"/>
    </row>
    <row r="14" spans="1:9" s="20" customFormat="1" ht="24.95" customHeight="1" x14ac:dyDescent="0.25">
      <c r="A14" s="97" t="s">
        <v>9</v>
      </c>
      <c r="B14" s="3">
        <v>1540000</v>
      </c>
      <c r="C14" s="3"/>
      <c r="D14" s="3">
        <v>942500</v>
      </c>
      <c r="E14" s="11">
        <f t="shared" si="2"/>
        <v>960000</v>
      </c>
      <c r="F14" s="97">
        <v>350610</v>
      </c>
      <c r="G14" s="97">
        <v>609390</v>
      </c>
      <c r="H14" s="10">
        <f t="shared" si="1"/>
        <v>0.62337662337662336</v>
      </c>
      <c r="I14" s="10"/>
    </row>
    <row r="15" spans="1:9" s="20" customFormat="1" ht="24.95" customHeight="1" x14ac:dyDescent="0.25">
      <c r="A15" s="97" t="s">
        <v>41</v>
      </c>
      <c r="B15" s="3">
        <v>12000</v>
      </c>
      <c r="C15" s="3"/>
      <c r="D15" s="3">
        <v>9000</v>
      </c>
      <c r="E15" s="11">
        <f t="shared" si="2"/>
        <v>9588</v>
      </c>
      <c r="F15" s="97"/>
      <c r="G15" s="97">
        <v>9588</v>
      </c>
      <c r="H15" s="10">
        <f t="shared" si="1"/>
        <v>0.79900000000000004</v>
      </c>
      <c r="I15" s="10"/>
    </row>
    <row r="16" spans="1:9" s="20" customFormat="1" ht="24.95" customHeight="1" x14ac:dyDescent="0.25">
      <c r="A16" s="97" t="s">
        <v>32</v>
      </c>
      <c r="B16" s="11">
        <v>750000</v>
      </c>
      <c r="C16" s="3">
        <v>950000</v>
      </c>
      <c r="D16" s="3">
        <v>800000</v>
      </c>
      <c r="E16" s="11">
        <f t="shared" si="2"/>
        <v>1000000</v>
      </c>
      <c r="F16" s="97"/>
      <c r="G16" s="97">
        <v>1000000</v>
      </c>
      <c r="H16" s="10">
        <f t="shared" si="1"/>
        <v>1.3333333333333333</v>
      </c>
      <c r="I16" s="10">
        <f>E16/C16</f>
        <v>1.0526315789473684</v>
      </c>
    </row>
    <row r="17" spans="1:9" s="20" customFormat="1" ht="24.95" customHeight="1" x14ac:dyDescent="0.25">
      <c r="A17" s="97" t="s">
        <v>33</v>
      </c>
      <c r="B17" s="11">
        <v>174000</v>
      </c>
      <c r="C17" s="3"/>
      <c r="D17" s="3">
        <v>90000</v>
      </c>
      <c r="E17" s="11">
        <f t="shared" si="2"/>
        <v>120190</v>
      </c>
      <c r="F17" s="97"/>
      <c r="G17" s="11">
        <v>120190</v>
      </c>
      <c r="H17" s="10">
        <f t="shared" si="1"/>
        <v>0.6907471264367816</v>
      </c>
      <c r="I17" s="10"/>
    </row>
    <row r="18" spans="1:9" s="20" customFormat="1" ht="24.95" customHeight="1" x14ac:dyDescent="0.25">
      <c r="A18" s="97" t="s">
        <v>34</v>
      </c>
      <c r="B18" s="11">
        <v>395000</v>
      </c>
      <c r="C18" s="3"/>
      <c r="D18" s="3">
        <v>340000</v>
      </c>
      <c r="E18" s="11">
        <f t="shared" si="2"/>
        <v>325000</v>
      </c>
      <c r="F18" s="97"/>
      <c r="G18" s="97">
        <v>325000</v>
      </c>
      <c r="H18" s="10">
        <f t="shared" si="1"/>
        <v>0.82278481012658233</v>
      </c>
      <c r="I18" s="10"/>
    </row>
    <row r="19" spans="1:9" s="20" customFormat="1" ht="24.95" customHeight="1" x14ac:dyDescent="0.25">
      <c r="A19" s="97" t="s">
        <v>35</v>
      </c>
      <c r="B19" s="11">
        <v>190000</v>
      </c>
      <c r="C19" s="3"/>
      <c r="D19" s="3">
        <v>90000</v>
      </c>
      <c r="E19" s="11">
        <f t="shared" si="2"/>
        <v>98000</v>
      </c>
      <c r="F19" s="97">
        <v>44000</v>
      </c>
      <c r="G19" s="97">
        <v>54000</v>
      </c>
      <c r="H19" s="10">
        <f t="shared" si="1"/>
        <v>0.51578947368421058</v>
      </c>
      <c r="I19" s="10"/>
    </row>
    <row r="20" spans="1:9" s="20" customFormat="1" ht="24.95" customHeight="1" x14ac:dyDescent="0.25">
      <c r="A20" s="97" t="s">
        <v>36</v>
      </c>
      <c r="B20" s="11">
        <v>7000</v>
      </c>
      <c r="C20" s="3"/>
      <c r="D20" s="98">
        <v>7000</v>
      </c>
      <c r="E20" s="11">
        <f t="shared" si="2"/>
        <v>7000</v>
      </c>
      <c r="F20" s="97">
        <v>7000</v>
      </c>
      <c r="G20" s="97"/>
      <c r="H20" s="10">
        <f t="shared" si="1"/>
        <v>1</v>
      </c>
      <c r="I20" s="10"/>
    </row>
    <row r="21" spans="1:9" s="20" customFormat="1" ht="24.95" customHeight="1" x14ac:dyDescent="0.25">
      <c r="A21" s="97" t="s">
        <v>37</v>
      </c>
      <c r="B21" s="11">
        <v>301000</v>
      </c>
      <c r="C21" s="3"/>
      <c r="D21" s="3">
        <v>250000</v>
      </c>
      <c r="E21" s="11">
        <f t="shared" si="2"/>
        <v>233900</v>
      </c>
      <c r="F21" s="97">
        <v>145000</v>
      </c>
      <c r="G21" s="97">
        <v>88900</v>
      </c>
      <c r="H21" s="10">
        <f t="shared" si="1"/>
        <v>0.77707641196013288</v>
      </c>
      <c r="I21" s="10"/>
    </row>
    <row r="22" spans="1:9" s="20" customFormat="1" ht="24.95" customHeight="1" x14ac:dyDescent="0.25">
      <c r="A22" s="97" t="s">
        <v>441</v>
      </c>
      <c r="B22" s="11">
        <v>600000</v>
      </c>
      <c r="C22" s="3"/>
      <c r="D22" s="3">
        <v>540000</v>
      </c>
      <c r="E22" s="11">
        <f t="shared" si="2"/>
        <v>550000</v>
      </c>
      <c r="F22" s="97">
        <v>550000</v>
      </c>
      <c r="G22" s="97"/>
      <c r="H22" s="10">
        <f t="shared" si="1"/>
        <v>0.91666666666666663</v>
      </c>
      <c r="I22" s="10"/>
    </row>
    <row r="23" spans="1:9" s="20" customFormat="1" ht="24.95" customHeight="1" x14ac:dyDescent="0.25">
      <c r="A23" s="97" t="s">
        <v>312</v>
      </c>
      <c r="B23" s="11">
        <v>228000</v>
      </c>
      <c r="C23" s="3"/>
      <c r="D23" s="3">
        <v>264000</v>
      </c>
      <c r="E23" s="11">
        <f t="shared" si="2"/>
        <v>280450</v>
      </c>
      <c r="F23" s="97"/>
      <c r="G23" s="97">
        <v>280450</v>
      </c>
      <c r="H23" s="10">
        <f t="shared" si="1"/>
        <v>1.2300438596491228</v>
      </c>
      <c r="I23" s="10"/>
    </row>
    <row r="24" spans="1:9" s="99" customFormat="1" ht="24.95" customHeight="1" x14ac:dyDescent="0.25">
      <c r="A24" s="95" t="s">
        <v>10</v>
      </c>
      <c r="B24" s="11">
        <v>213000</v>
      </c>
      <c r="C24" s="3"/>
      <c r="D24" s="3">
        <v>100500</v>
      </c>
      <c r="E24" s="11">
        <f t="shared" si="2"/>
        <v>100000</v>
      </c>
      <c r="F24" s="11">
        <v>51848</v>
      </c>
      <c r="G24" s="11">
        <v>48152</v>
      </c>
      <c r="H24" s="10">
        <f t="shared" si="1"/>
        <v>0.46948356807511737</v>
      </c>
      <c r="I24" s="10"/>
    </row>
    <row r="25" spans="1:9" s="102" customFormat="1" ht="24.95" customHeight="1" x14ac:dyDescent="0.25">
      <c r="A25" s="100" t="s">
        <v>39</v>
      </c>
      <c r="B25" s="101">
        <v>79500</v>
      </c>
      <c r="C25" s="80"/>
      <c r="D25" s="80"/>
      <c r="E25" s="11">
        <f t="shared" si="2"/>
        <v>56300</v>
      </c>
      <c r="F25" s="101">
        <v>28500</v>
      </c>
      <c r="G25" s="101">
        <v>27800</v>
      </c>
      <c r="H25" s="12">
        <f t="shared" si="1"/>
        <v>0.70817610062893077</v>
      </c>
      <c r="I25" s="12"/>
    </row>
    <row r="26" spans="1:9" s="99" customFormat="1" ht="24.95" customHeight="1" x14ac:dyDescent="0.25">
      <c r="A26" s="95" t="s">
        <v>11</v>
      </c>
      <c r="B26" s="11">
        <v>65000</v>
      </c>
      <c r="C26" s="3"/>
      <c r="D26" s="3">
        <v>45000</v>
      </c>
      <c r="E26" s="11">
        <f t="shared" si="2"/>
        <v>45000</v>
      </c>
      <c r="F26" s="103"/>
      <c r="G26" s="11">
        <v>45000</v>
      </c>
      <c r="H26" s="10">
        <f t="shared" si="1"/>
        <v>0.69230769230769229</v>
      </c>
      <c r="I26" s="10"/>
    </row>
    <row r="27" spans="1:9" s="105" customFormat="1" ht="24.95" customHeight="1" x14ac:dyDescent="0.25">
      <c r="A27" s="104" t="s">
        <v>12</v>
      </c>
      <c r="B27" s="64">
        <v>346637</v>
      </c>
      <c r="C27" s="64">
        <v>90120</v>
      </c>
      <c r="D27" s="64">
        <v>0</v>
      </c>
      <c r="E27" s="64">
        <f>F27+G27</f>
        <v>70286</v>
      </c>
      <c r="F27" s="64">
        <f>SUM(F28:F36)</f>
        <v>70286</v>
      </c>
      <c r="G27" s="64">
        <f>SUM(G28:G36)</f>
        <v>0</v>
      </c>
      <c r="H27" s="13">
        <f t="shared" si="1"/>
        <v>0.2027654289645941</v>
      </c>
      <c r="I27" s="13">
        <f>E27/C27</f>
        <v>0.77991566799822454</v>
      </c>
    </row>
    <row r="28" spans="1:9" s="107" customFormat="1" ht="24.95" customHeight="1" x14ac:dyDescent="0.25">
      <c r="A28" s="106" t="s">
        <v>13</v>
      </c>
      <c r="B28" s="97">
        <v>107162</v>
      </c>
      <c r="C28" s="97"/>
      <c r="D28" s="98"/>
      <c r="E28" s="97"/>
      <c r="F28" s="97"/>
      <c r="G28" s="97"/>
      <c r="H28" s="10">
        <f t="shared" si="1"/>
        <v>0</v>
      </c>
      <c r="I28" s="10"/>
    </row>
    <row r="29" spans="1:9" s="107" customFormat="1" ht="24.95" customHeight="1" x14ac:dyDescent="0.25">
      <c r="A29" s="106" t="s">
        <v>14</v>
      </c>
      <c r="B29" s="11"/>
      <c r="C29" s="11"/>
      <c r="D29" s="98"/>
      <c r="E29" s="97"/>
      <c r="F29" s="97"/>
      <c r="G29" s="97"/>
      <c r="H29" s="10"/>
      <c r="I29" s="10"/>
    </row>
    <row r="30" spans="1:9" s="107" customFormat="1" ht="24.95" customHeight="1" x14ac:dyDescent="0.25">
      <c r="A30" s="106" t="s">
        <v>15</v>
      </c>
      <c r="B30" s="97">
        <v>4200</v>
      </c>
      <c r="C30" s="97"/>
      <c r="D30" s="98"/>
      <c r="E30" s="97"/>
      <c r="F30" s="97">
        <v>1800</v>
      </c>
      <c r="G30" s="97"/>
      <c r="H30" s="10">
        <f t="shared" si="1"/>
        <v>0</v>
      </c>
      <c r="I30" s="10"/>
    </row>
    <row r="31" spans="1:9" s="107" customFormat="1" ht="24.95" customHeight="1" x14ac:dyDescent="0.25">
      <c r="A31" s="106" t="s">
        <v>42</v>
      </c>
      <c r="B31" s="97">
        <v>2100</v>
      </c>
      <c r="C31" s="97"/>
      <c r="D31" s="98"/>
      <c r="E31" s="97"/>
      <c r="F31" s="97">
        <v>170</v>
      </c>
      <c r="G31" s="97"/>
      <c r="H31" s="10">
        <f>E31/B31</f>
        <v>0</v>
      </c>
      <c r="I31" s="10"/>
    </row>
    <row r="32" spans="1:9" s="107" customFormat="1" ht="24.95" customHeight="1" x14ac:dyDescent="0.25">
      <c r="A32" s="106" t="s">
        <v>16</v>
      </c>
      <c r="B32" s="97">
        <v>0</v>
      </c>
      <c r="C32" s="97"/>
      <c r="D32" s="98"/>
      <c r="E32" s="97"/>
      <c r="F32" s="97"/>
      <c r="G32" s="97"/>
      <c r="H32" s="10"/>
      <c r="I32" s="10"/>
    </row>
    <row r="33" spans="1:13" s="107" customFormat="1" ht="24.95" customHeight="1" x14ac:dyDescent="0.25">
      <c r="A33" s="106" t="s">
        <v>17</v>
      </c>
      <c r="B33" s="97">
        <v>600</v>
      </c>
      <c r="C33" s="97"/>
      <c r="D33" s="98"/>
      <c r="E33" s="97"/>
      <c r="F33" s="97"/>
      <c r="G33" s="97"/>
      <c r="H33" s="10"/>
      <c r="I33" s="10"/>
    </row>
    <row r="34" spans="1:13" s="107" customFormat="1" ht="24.95" customHeight="1" x14ac:dyDescent="0.25">
      <c r="A34" s="106" t="s">
        <v>18</v>
      </c>
      <c r="B34" s="97">
        <v>40420</v>
      </c>
      <c r="C34" s="97"/>
      <c r="D34" s="98"/>
      <c r="E34" s="97"/>
      <c r="F34" s="97">
        <v>40000</v>
      </c>
      <c r="G34" s="97"/>
      <c r="H34" s="10"/>
      <c r="I34" s="10"/>
    </row>
    <row r="35" spans="1:13" s="107" customFormat="1" ht="24.95" customHeight="1" x14ac:dyDescent="0.25">
      <c r="A35" s="106" t="s">
        <v>19</v>
      </c>
      <c r="B35" s="97">
        <v>100000</v>
      </c>
      <c r="C35" s="97">
        <v>68108</v>
      </c>
      <c r="D35" s="98"/>
      <c r="E35" s="97"/>
      <c r="F35" s="97"/>
      <c r="G35" s="97"/>
      <c r="H35" s="10">
        <f t="shared" si="1"/>
        <v>0</v>
      </c>
      <c r="I35" s="10"/>
    </row>
    <row r="36" spans="1:13" s="107" customFormat="1" ht="24.95" customHeight="1" x14ac:dyDescent="0.25">
      <c r="A36" s="106" t="s">
        <v>20</v>
      </c>
      <c r="B36" s="97">
        <v>92155</v>
      </c>
      <c r="C36" s="97"/>
      <c r="D36" s="98"/>
      <c r="E36" s="97"/>
      <c r="F36" s="97">
        <v>28316</v>
      </c>
      <c r="G36" s="97"/>
      <c r="H36" s="13">
        <f t="shared" si="1"/>
        <v>0</v>
      </c>
      <c r="I36" s="10"/>
    </row>
    <row r="37" spans="1:13" s="105" customFormat="1" ht="24.95" customHeight="1" x14ac:dyDescent="0.25">
      <c r="A37" s="108" t="s">
        <v>29</v>
      </c>
      <c r="B37" s="64">
        <v>7000000</v>
      </c>
      <c r="C37" s="64">
        <v>2000000</v>
      </c>
      <c r="D37" s="65">
        <v>1550000</v>
      </c>
      <c r="E37" s="65">
        <v>1700000</v>
      </c>
      <c r="F37" s="65">
        <v>1700000</v>
      </c>
      <c r="G37" s="65">
        <v>0</v>
      </c>
      <c r="H37" s="13">
        <f t="shared" si="1"/>
        <v>0.24285714285714285</v>
      </c>
      <c r="I37" s="13">
        <f>E37/C37</f>
        <v>0.85</v>
      </c>
    </row>
    <row r="38" spans="1:13" s="111" customFormat="1" ht="24.95" customHeight="1" x14ac:dyDescent="0.25">
      <c r="A38" s="109" t="s">
        <v>21</v>
      </c>
      <c r="B38" s="110">
        <v>14846637</v>
      </c>
      <c r="C38" s="110">
        <f>C37+C27+C9</f>
        <v>7540120</v>
      </c>
      <c r="D38" s="110">
        <f>D37+D27+D9</f>
        <v>7327000</v>
      </c>
      <c r="E38" s="110">
        <f>E37+E27+E9</f>
        <v>7770286</v>
      </c>
      <c r="F38" s="110">
        <f>F37+F27+F9</f>
        <v>5073586</v>
      </c>
      <c r="G38" s="110">
        <f>G37+G27+G9</f>
        <v>2696700</v>
      </c>
      <c r="H38" s="12">
        <f t="shared" si="1"/>
        <v>0.52337010731790645</v>
      </c>
      <c r="I38" s="12"/>
      <c r="J38" s="20"/>
    </row>
    <row r="39" spans="1:13" s="111" customFormat="1" ht="24.95" customHeight="1" x14ac:dyDescent="0.25">
      <c r="A39" s="106" t="s">
        <v>38</v>
      </c>
      <c r="B39" s="97">
        <v>7140350</v>
      </c>
      <c r="C39" s="98"/>
      <c r="D39" s="3">
        <f>D38-D40</f>
        <v>2120300</v>
      </c>
      <c r="E39" s="11">
        <f>D39+E37-D37</f>
        <v>2270300</v>
      </c>
      <c r="F39" s="97">
        <f>E39-G39</f>
        <v>2093340</v>
      </c>
      <c r="G39" s="97">
        <v>176960</v>
      </c>
      <c r="H39" s="10">
        <f t="shared" si="1"/>
        <v>0.31795360171420167</v>
      </c>
      <c r="I39" s="10"/>
      <c r="J39" s="20"/>
    </row>
    <row r="40" spans="1:13" s="20" customFormat="1" ht="24.95" customHeight="1" x14ac:dyDescent="0.25">
      <c r="A40" s="106" t="s">
        <v>22</v>
      </c>
      <c r="B40" s="97">
        <v>7706287</v>
      </c>
      <c r="C40" s="97"/>
      <c r="D40" s="3">
        <v>5206700</v>
      </c>
      <c r="E40" s="11">
        <f>E38-E39</f>
        <v>5499986</v>
      </c>
      <c r="F40" s="11">
        <f>E40-G40</f>
        <v>3572613</v>
      </c>
      <c r="G40" s="11">
        <f>'PL07 HX hưởng'!D20</f>
        <v>1927373</v>
      </c>
      <c r="H40" s="10">
        <f t="shared" si="1"/>
        <v>0.71370116373812709</v>
      </c>
      <c r="I40" s="10"/>
    </row>
    <row r="41" spans="1:13" s="112" customFormat="1" ht="24.95" customHeight="1" x14ac:dyDescent="0.25">
      <c r="A41" s="63" t="s">
        <v>23</v>
      </c>
      <c r="B41" s="64">
        <f>SUM(B42:B44,B47)</f>
        <v>5708140</v>
      </c>
      <c r="C41" s="64">
        <f>SUM(C42:C44,C47)</f>
        <v>5991100</v>
      </c>
      <c r="D41" s="64">
        <f>SUM(D42:D44,D47)</f>
        <v>7365191</v>
      </c>
      <c r="E41" s="64">
        <f>SUM(E42:E44,E47)</f>
        <v>7365191</v>
      </c>
      <c r="F41" s="64">
        <f>SUM(F42:F44,F47)</f>
        <v>7365191</v>
      </c>
      <c r="G41" s="64">
        <f>G42+G43+G44+G47</f>
        <v>0</v>
      </c>
      <c r="H41" s="13">
        <f t="shared" si="1"/>
        <v>1.2902961384969536</v>
      </c>
      <c r="I41" s="13">
        <f>E41/C41</f>
        <v>1.2293553771427617</v>
      </c>
      <c r="M41" s="112" t="s">
        <v>555</v>
      </c>
    </row>
    <row r="42" spans="1:13" s="20" customFormat="1" ht="24.95" customHeight="1" x14ac:dyDescent="0.25">
      <c r="A42" s="97" t="s">
        <v>24</v>
      </c>
      <c r="B42" s="97">
        <v>3050815</v>
      </c>
      <c r="C42" s="97">
        <v>3050815</v>
      </c>
      <c r="D42" s="3">
        <v>5719191</v>
      </c>
      <c r="E42" s="3">
        <f>F42+G42</f>
        <v>5719191</v>
      </c>
      <c r="F42" s="3">
        <v>5719191</v>
      </c>
      <c r="G42" s="97"/>
      <c r="H42" s="10"/>
      <c r="I42" s="10"/>
    </row>
    <row r="43" spans="1:13" s="20" customFormat="1" ht="24.95" customHeight="1" x14ac:dyDescent="0.25">
      <c r="A43" s="97" t="s">
        <v>43</v>
      </c>
      <c r="B43" s="97">
        <v>210518</v>
      </c>
      <c r="C43" s="97">
        <v>210858</v>
      </c>
      <c r="D43" s="3"/>
      <c r="E43" s="3"/>
      <c r="F43" s="3"/>
      <c r="G43" s="97"/>
      <c r="H43" s="10"/>
      <c r="I43" s="10"/>
    </row>
    <row r="44" spans="1:13" s="20" customFormat="1" ht="24.95" customHeight="1" x14ac:dyDescent="0.25">
      <c r="A44" s="97" t="s">
        <v>303</v>
      </c>
      <c r="B44" s="97">
        <v>2446807</v>
      </c>
      <c r="C44" s="97">
        <v>2729427</v>
      </c>
      <c r="D44" s="3">
        <f>D45+D46</f>
        <v>1646000</v>
      </c>
      <c r="E44" s="3">
        <f>E45+E46</f>
        <v>1475542</v>
      </c>
      <c r="F44" s="3">
        <f>F45+F46</f>
        <v>1475542</v>
      </c>
      <c r="G44" s="97"/>
      <c r="H44" s="10"/>
      <c r="I44" s="10"/>
    </row>
    <row r="45" spans="1:13" s="20" customFormat="1" ht="24.95" customHeight="1" x14ac:dyDescent="0.25">
      <c r="A45" s="97" t="s">
        <v>25</v>
      </c>
      <c r="B45" s="97">
        <v>2098807</v>
      </c>
      <c r="C45" s="98">
        <v>2694246</v>
      </c>
      <c r="D45" s="3">
        <v>1202874</v>
      </c>
      <c r="E45" s="3">
        <v>1032416</v>
      </c>
      <c r="F45" s="3">
        <v>1032416</v>
      </c>
      <c r="G45" s="97"/>
      <c r="H45" s="10"/>
      <c r="I45" s="10"/>
      <c r="J45" s="13"/>
      <c r="K45" s="13"/>
      <c r="L45" s="13"/>
      <c r="M45" s="13">
        <v>0.52</v>
      </c>
    </row>
    <row r="46" spans="1:13" s="20" customFormat="1" ht="24.95" customHeight="1" x14ac:dyDescent="0.25">
      <c r="A46" s="97" t="s">
        <v>26</v>
      </c>
      <c r="B46" s="97">
        <v>348000</v>
      </c>
      <c r="C46" s="98">
        <v>35181</v>
      </c>
      <c r="D46" s="3">
        <v>443126</v>
      </c>
      <c r="E46" s="3">
        <v>443126</v>
      </c>
      <c r="F46" s="3">
        <v>443126</v>
      </c>
      <c r="G46" s="97"/>
      <c r="H46" s="10"/>
      <c r="I46" s="10"/>
    </row>
    <row r="47" spans="1:13" s="20" customFormat="1" ht="36" customHeight="1" x14ac:dyDescent="0.25">
      <c r="A47" s="95" t="s">
        <v>448</v>
      </c>
      <c r="B47" s="97"/>
      <c r="C47" s="98"/>
      <c r="D47" s="98"/>
      <c r="E47" s="98">
        <v>170458</v>
      </c>
      <c r="F47" s="98">
        <v>170458</v>
      </c>
      <c r="G47" s="97"/>
      <c r="H47" s="10"/>
      <c r="I47" s="10"/>
    </row>
    <row r="48" spans="1:13" s="20" customFormat="1" ht="21.6" customHeight="1" x14ac:dyDescent="0.25">
      <c r="A48" s="95" t="s">
        <v>449</v>
      </c>
      <c r="B48" s="97"/>
      <c r="C48" s="98"/>
      <c r="D48" s="98"/>
      <c r="E48" s="98">
        <v>159400</v>
      </c>
      <c r="F48" s="98">
        <v>159400</v>
      </c>
      <c r="G48" s="97"/>
      <c r="H48" s="10"/>
      <c r="I48" s="10"/>
    </row>
    <row r="49" spans="1:11" s="112" customFormat="1" ht="24.95" customHeight="1" x14ac:dyDescent="0.25">
      <c r="A49" s="64" t="s">
        <v>27</v>
      </c>
      <c r="B49" s="64"/>
      <c r="C49" s="113">
        <v>16636</v>
      </c>
      <c r="D49" s="113"/>
      <c r="E49" s="114"/>
      <c r="F49" s="64"/>
      <c r="G49" s="64"/>
      <c r="H49" s="13"/>
      <c r="I49" s="13"/>
    </row>
    <row r="50" spans="1:11" s="112" customFormat="1" ht="24.95" customHeight="1" x14ac:dyDescent="0.25">
      <c r="A50" s="64" t="s">
        <v>539</v>
      </c>
      <c r="B50" s="64"/>
      <c r="C50" s="64">
        <v>35000</v>
      </c>
      <c r="D50" s="64"/>
      <c r="E50" s="64">
        <v>100000</v>
      </c>
      <c r="F50" s="64">
        <v>100000</v>
      </c>
      <c r="G50" s="64"/>
      <c r="H50" s="13"/>
      <c r="I50" s="13"/>
    </row>
    <row r="51" spans="1:11" s="112" customFormat="1" ht="24.95" customHeight="1" x14ac:dyDescent="0.25">
      <c r="A51" s="64" t="s">
        <v>31</v>
      </c>
      <c r="B51" s="64"/>
      <c r="C51" s="64">
        <v>3924321</v>
      </c>
      <c r="D51" s="64"/>
      <c r="E51" s="64"/>
      <c r="F51" s="64"/>
      <c r="G51" s="64"/>
      <c r="H51" s="13"/>
      <c r="I51" s="13"/>
    </row>
    <row r="52" spans="1:11" s="112" customFormat="1" ht="24.95" customHeight="1" x14ac:dyDescent="0.3">
      <c r="A52" s="115" t="s">
        <v>28</v>
      </c>
      <c r="B52" s="64">
        <v>13414427</v>
      </c>
      <c r="C52" s="64">
        <f>C40+C41+C49+C50+C51</f>
        <v>9967057</v>
      </c>
      <c r="D52" s="64">
        <f>D40+D41</f>
        <v>12571891</v>
      </c>
      <c r="E52" s="64">
        <f>E40+E41+E50</f>
        <v>12965177</v>
      </c>
      <c r="F52" s="64">
        <f>F40+F41+F50</f>
        <v>11037804</v>
      </c>
      <c r="G52" s="64">
        <f>G40+G41+G49+G50+G51</f>
        <v>1927373</v>
      </c>
      <c r="H52" s="13">
        <f t="shared" si="1"/>
        <v>0.96650993739799695</v>
      </c>
      <c r="I52" s="13"/>
      <c r="J52" s="116"/>
      <c r="K52" s="117"/>
    </row>
    <row r="53" spans="1:11" s="5" customFormat="1" ht="8.25" customHeight="1" x14ac:dyDescent="0.25">
      <c r="A53" s="14"/>
      <c r="B53" s="14"/>
      <c r="C53" s="14"/>
      <c r="D53" s="14"/>
      <c r="E53" s="14"/>
      <c r="F53" s="14"/>
      <c r="G53" s="14"/>
      <c r="H53" s="14"/>
      <c r="I53" s="14"/>
    </row>
    <row r="54" spans="1:11" x14ac:dyDescent="0.3">
      <c r="A54" s="15"/>
      <c r="B54" s="15"/>
      <c r="E54" s="225" t="s">
        <v>604</v>
      </c>
      <c r="F54" s="225"/>
      <c r="G54" s="225"/>
      <c r="H54" s="225"/>
      <c r="I54" s="225"/>
    </row>
    <row r="55" spans="1:11" x14ac:dyDescent="0.3">
      <c r="A55" s="15"/>
      <c r="B55" s="15"/>
    </row>
    <row r="56" spans="1:11" x14ac:dyDescent="0.3">
      <c r="A56" s="15"/>
      <c r="B56" s="15"/>
    </row>
    <row r="57" spans="1:11" x14ac:dyDescent="0.3">
      <c r="A57" s="15"/>
      <c r="B57" s="15"/>
    </row>
    <row r="58" spans="1:11" x14ac:dyDescent="0.3">
      <c r="A58" s="15"/>
      <c r="B58" s="15"/>
    </row>
    <row r="59" spans="1:11" x14ac:dyDescent="0.3">
      <c r="A59" s="15"/>
      <c r="B59" s="15"/>
    </row>
    <row r="60" spans="1:11" x14ac:dyDescent="0.3">
      <c r="A60" s="15"/>
      <c r="B60" s="15"/>
    </row>
    <row r="61" spans="1:11" x14ac:dyDescent="0.3">
      <c r="A61" s="15"/>
      <c r="B61" s="15"/>
    </row>
    <row r="62" spans="1:11" x14ac:dyDescent="0.3">
      <c r="A62" s="15"/>
      <c r="B62" s="15"/>
    </row>
    <row r="63" spans="1:11" x14ac:dyDescent="0.3">
      <c r="A63" s="15"/>
      <c r="B63" s="15"/>
    </row>
    <row r="64" spans="1:11" x14ac:dyDescent="0.3">
      <c r="A64" s="15"/>
      <c r="B64" s="15"/>
    </row>
    <row r="65" spans="1:2" x14ac:dyDescent="0.3">
      <c r="A65" s="15"/>
      <c r="B65" s="15"/>
    </row>
    <row r="66" spans="1:2" x14ac:dyDescent="0.3">
      <c r="A66" s="15"/>
      <c r="B66" s="15"/>
    </row>
    <row r="67" spans="1:2" x14ac:dyDescent="0.3">
      <c r="A67" s="15"/>
      <c r="B67" s="15"/>
    </row>
    <row r="68" spans="1:2" x14ac:dyDescent="0.3">
      <c r="A68" s="15"/>
      <c r="B68" s="15"/>
    </row>
    <row r="69" spans="1:2" x14ac:dyDescent="0.3">
      <c r="A69" s="15"/>
      <c r="B69" s="15"/>
    </row>
    <row r="70" spans="1:2" x14ac:dyDescent="0.3">
      <c r="A70" s="15"/>
      <c r="B70" s="15"/>
    </row>
    <row r="71" spans="1:2" x14ac:dyDescent="0.3">
      <c r="A71" s="15"/>
      <c r="B71" s="15"/>
    </row>
    <row r="72" spans="1:2" x14ac:dyDescent="0.3">
      <c r="A72" s="15"/>
      <c r="B72" s="15"/>
    </row>
    <row r="73" spans="1:2" x14ac:dyDescent="0.3">
      <c r="A73" s="15"/>
      <c r="B73" s="15"/>
    </row>
    <row r="74" spans="1:2" x14ac:dyDescent="0.3">
      <c r="A74" s="15"/>
      <c r="B74" s="15"/>
    </row>
    <row r="75" spans="1:2" x14ac:dyDescent="0.3">
      <c r="A75" s="15"/>
      <c r="B75" s="15"/>
    </row>
    <row r="76" spans="1:2" x14ac:dyDescent="0.3">
      <c r="A76" s="15"/>
      <c r="B76" s="15"/>
    </row>
    <row r="77" spans="1:2" x14ac:dyDescent="0.3">
      <c r="A77" s="15"/>
      <c r="B77" s="15"/>
    </row>
    <row r="78" spans="1:2" x14ac:dyDescent="0.3">
      <c r="A78" s="15"/>
      <c r="B78" s="15"/>
    </row>
    <row r="79" spans="1:2" x14ac:dyDescent="0.3">
      <c r="A79" s="15"/>
      <c r="B79" s="15"/>
    </row>
    <row r="80" spans="1:2" x14ac:dyDescent="0.3">
      <c r="A80" s="15"/>
      <c r="B80" s="15"/>
    </row>
    <row r="81" spans="1:2" x14ac:dyDescent="0.3">
      <c r="A81" s="15"/>
      <c r="B81" s="15"/>
    </row>
    <row r="82" spans="1:2" x14ac:dyDescent="0.3">
      <c r="A82" s="15"/>
      <c r="B82" s="15"/>
    </row>
    <row r="83" spans="1:2" x14ac:dyDescent="0.3">
      <c r="A83" s="15"/>
      <c r="B83" s="15"/>
    </row>
    <row r="84" spans="1:2" x14ac:dyDescent="0.3">
      <c r="A84" s="15"/>
      <c r="B84" s="15"/>
    </row>
    <row r="85" spans="1:2" x14ac:dyDescent="0.3">
      <c r="A85" s="15"/>
      <c r="B85" s="15"/>
    </row>
    <row r="86" spans="1:2" x14ac:dyDescent="0.3">
      <c r="A86" s="15"/>
      <c r="B86" s="15"/>
    </row>
    <row r="87" spans="1:2" x14ac:dyDescent="0.3">
      <c r="A87" s="15"/>
      <c r="B87" s="15"/>
    </row>
    <row r="88" spans="1:2" x14ac:dyDescent="0.3">
      <c r="A88" s="15"/>
      <c r="B88" s="15"/>
    </row>
    <row r="89" spans="1:2" x14ac:dyDescent="0.3">
      <c r="A89" s="15"/>
      <c r="B89" s="15"/>
    </row>
    <row r="90" spans="1:2" x14ac:dyDescent="0.3">
      <c r="A90" s="15"/>
      <c r="B90" s="15"/>
    </row>
    <row r="91" spans="1:2" x14ac:dyDescent="0.3">
      <c r="A91" s="15"/>
      <c r="B91" s="15"/>
    </row>
    <row r="92" spans="1:2" x14ac:dyDescent="0.3">
      <c r="A92" s="15"/>
      <c r="B92" s="15"/>
    </row>
    <row r="93" spans="1:2" x14ac:dyDescent="0.3">
      <c r="A93" s="15"/>
      <c r="B93" s="15"/>
    </row>
    <row r="94" spans="1:2" x14ac:dyDescent="0.3">
      <c r="A94" s="15"/>
      <c r="B94" s="15"/>
    </row>
    <row r="95" spans="1:2" x14ac:dyDescent="0.3">
      <c r="A95" s="15"/>
      <c r="B95" s="15"/>
    </row>
    <row r="96" spans="1:2" x14ac:dyDescent="0.3">
      <c r="A96" s="15"/>
      <c r="B96" s="15"/>
    </row>
    <row r="97" spans="1:2" x14ac:dyDescent="0.3">
      <c r="A97" s="15"/>
      <c r="B97" s="15"/>
    </row>
    <row r="98" spans="1:2" x14ac:dyDescent="0.3">
      <c r="A98" s="15"/>
      <c r="B98" s="15"/>
    </row>
    <row r="99" spans="1:2" x14ac:dyDescent="0.3">
      <c r="A99" s="15"/>
      <c r="B99" s="15"/>
    </row>
    <row r="100" spans="1:2" x14ac:dyDescent="0.3">
      <c r="A100" s="15"/>
      <c r="B100" s="15"/>
    </row>
    <row r="101" spans="1:2" x14ac:dyDescent="0.3">
      <c r="A101" s="15"/>
      <c r="B101" s="15"/>
    </row>
    <row r="102" spans="1:2" x14ac:dyDescent="0.3">
      <c r="A102" s="15"/>
      <c r="B102" s="15"/>
    </row>
    <row r="103" spans="1:2" x14ac:dyDescent="0.3">
      <c r="A103" s="15"/>
      <c r="B103" s="15"/>
    </row>
    <row r="104" spans="1:2" x14ac:dyDescent="0.3">
      <c r="A104" s="15"/>
      <c r="B104" s="15"/>
    </row>
    <row r="105" spans="1:2" x14ac:dyDescent="0.3">
      <c r="A105" s="15"/>
      <c r="B105" s="15"/>
    </row>
    <row r="106" spans="1:2" x14ac:dyDescent="0.3">
      <c r="A106" s="15"/>
      <c r="B106" s="15"/>
    </row>
    <row r="107" spans="1:2" x14ac:dyDescent="0.3">
      <c r="A107" s="15"/>
      <c r="B107" s="15"/>
    </row>
    <row r="108" spans="1:2" x14ac:dyDescent="0.3">
      <c r="A108" s="15"/>
      <c r="B108" s="15"/>
    </row>
    <row r="109" spans="1:2" x14ac:dyDescent="0.3">
      <c r="A109" s="15"/>
      <c r="B109" s="15"/>
    </row>
    <row r="110" spans="1:2" x14ac:dyDescent="0.3">
      <c r="A110" s="15"/>
      <c r="B110" s="15"/>
    </row>
    <row r="111" spans="1:2" x14ac:dyDescent="0.3">
      <c r="A111" s="15"/>
      <c r="B111" s="15"/>
    </row>
    <row r="112" spans="1:2" x14ac:dyDescent="0.3">
      <c r="A112" s="15"/>
      <c r="B112" s="15"/>
    </row>
    <row r="113" spans="1:2" x14ac:dyDescent="0.3">
      <c r="A113" s="15"/>
      <c r="B113" s="15"/>
    </row>
    <row r="114" spans="1:2" x14ac:dyDescent="0.3">
      <c r="A114" s="15"/>
      <c r="B114" s="15"/>
    </row>
    <row r="115" spans="1:2" x14ac:dyDescent="0.3">
      <c r="A115" s="15"/>
      <c r="B115" s="15"/>
    </row>
    <row r="116" spans="1:2" x14ac:dyDescent="0.3">
      <c r="A116" s="15"/>
      <c r="B116" s="15"/>
    </row>
    <row r="117" spans="1:2" x14ac:dyDescent="0.3">
      <c r="A117" s="15"/>
      <c r="B117" s="15"/>
    </row>
    <row r="118" spans="1:2" x14ac:dyDescent="0.3">
      <c r="A118" s="15"/>
      <c r="B118" s="15"/>
    </row>
    <row r="119" spans="1:2" x14ac:dyDescent="0.3">
      <c r="A119" s="15"/>
      <c r="B119" s="15"/>
    </row>
    <row r="120" spans="1:2" x14ac:dyDescent="0.3">
      <c r="A120" s="15"/>
      <c r="B120" s="15"/>
    </row>
    <row r="121" spans="1:2" x14ac:dyDescent="0.3">
      <c r="A121" s="15"/>
      <c r="B121" s="15"/>
    </row>
    <row r="122" spans="1:2" x14ac:dyDescent="0.3">
      <c r="A122" s="15"/>
      <c r="B122" s="15"/>
    </row>
    <row r="123" spans="1:2" x14ac:dyDescent="0.3">
      <c r="A123" s="15"/>
      <c r="B123" s="15"/>
    </row>
    <row r="124" spans="1:2" x14ac:dyDescent="0.3">
      <c r="A124" s="15"/>
      <c r="B124" s="15"/>
    </row>
    <row r="125" spans="1:2" x14ac:dyDescent="0.3">
      <c r="A125" s="15"/>
      <c r="B125" s="15"/>
    </row>
    <row r="126" spans="1:2" x14ac:dyDescent="0.3">
      <c r="A126" s="15"/>
      <c r="B126" s="15"/>
    </row>
    <row r="127" spans="1:2" x14ac:dyDescent="0.3">
      <c r="A127" s="15"/>
      <c r="B127" s="15"/>
    </row>
    <row r="128" spans="1:2" x14ac:dyDescent="0.3">
      <c r="A128" s="15"/>
      <c r="B128" s="15"/>
    </row>
    <row r="129" spans="1:2" x14ac:dyDescent="0.3">
      <c r="A129" s="15"/>
      <c r="B129" s="15"/>
    </row>
    <row r="130" spans="1:2" x14ac:dyDescent="0.3">
      <c r="A130" s="15"/>
      <c r="B130" s="15"/>
    </row>
    <row r="131" spans="1:2" x14ac:dyDescent="0.3">
      <c r="A131" s="15"/>
      <c r="B131" s="15"/>
    </row>
    <row r="132" spans="1:2" x14ac:dyDescent="0.3">
      <c r="A132" s="15"/>
      <c r="B132" s="15"/>
    </row>
    <row r="133" spans="1:2" x14ac:dyDescent="0.3">
      <c r="A133" s="15"/>
      <c r="B133" s="15"/>
    </row>
    <row r="134" spans="1:2" x14ac:dyDescent="0.3">
      <c r="A134" s="15"/>
      <c r="B134" s="15"/>
    </row>
    <row r="135" spans="1:2" x14ac:dyDescent="0.3">
      <c r="A135" s="15"/>
      <c r="B135" s="15"/>
    </row>
    <row r="136" spans="1:2" x14ac:dyDescent="0.3">
      <c r="A136" s="15"/>
      <c r="B136" s="15"/>
    </row>
    <row r="137" spans="1:2" x14ac:dyDescent="0.3">
      <c r="A137" s="15"/>
      <c r="B137" s="15"/>
    </row>
    <row r="138" spans="1:2" x14ac:dyDescent="0.3">
      <c r="A138" s="15"/>
      <c r="B138" s="15"/>
    </row>
    <row r="139" spans="1:2" x14ac:dyDescent="0.3">
      <c r="A139" s="15"/>
      <c r="B139" s="15"/>
    </row>
    <row r="140" spans="1:2" x14ac:dyDescent="0.3">
      <c r="A140" s="15"/>
      <c r="B140" s="15"/>
    </row>
    <row r="141" spans="1:2" x14ac:dyDescent="0.3">
      <c r="A141" s="15"/>
      <c r="B141" s="15"/>
    </row>
    <row r="142" spans="1:2" x14ac:dyDescent="0.3">
      <c r="A142" s="15"/>
      <c r="B142" s="15"/>
    </row>
    <row r="143" spans="1:2" x14ac:dyDescent="0.3">
      <c r="A143" s="15"/>
      <c r="B143" s="15"/>
    </row>
    <row r="144" spans="1:2" x14ac:dyDescent="0.3">
      <c r="A144" s="15"/>
      <c r="B144" s="15"/>
    </row>
    <row r="145" spans="1:2" x14ac:dyDescent="0.3">
      <c r="A145" s="15"/>
      <c r="B145" s="15"/>
    </row>
    <row r="146" spans="1:2" x14ac:dyDescent="0.3">
      <c r="A146" s="15"/>
      <c r="B146" s="15"/>
    </row>
    <row r="147" spans="1:2" x14ac:dyDescent="0.3">
      <c r="A147" s="15"/>
      <c r="B147" s="15"/>
    </row>
    <row r="148" spans="1:2" x14ac:dyDescent="0.3">
      <c r="A148" s="15"/>
      <c r="B148" s="15"/>
    </row>
    <row r="149" spans="1:2" x14ac:dyDescent="0.3">
      <c r="A149" s="15"/>
      <c r="B149" s="15"/>
    </row>
    <row r="150" spans="1:2" x14ac:dyDescent="0.3">
      <c r="A150" s="15"/>
      <c r="B150" s="15"/>
    </row>
    <row r="151" spans="1:2" x14ac:dyDescent="0.3">
      <c r="A151" s="15"/>
      <c r="B151" s="15"/>
    </row>
    <row r="152" spans="1:2" x14ac:dyDescent="0.3">
      <c r="A152" s="15"/>
      <c r="B152" s="15"/>
    </row>
    <row r="153" spans="1:2" x14ac:dyDescent="0.3">
      <c r="A153" s="15"/>
      <c r="B153" s="15"/>
    </row>
    <row r="154" spans="1:2" x14ac:dyDescent="0.3">
      <c r="A154" s="15"/>
      <c r="B154" s="15"/>
    </row>
    <row r="155" spans="1:2" x14ac:dyDescent="0.3">
      <c r="A155" s="15"/>
      <c r="B155" s="15"/>
    </row>
    <row r="156" spans="1:2" x14ac:dyDescent="0.3">
      <c r="A156" s="15"/>
      <c r="B156" s="15"/>
    </row>
    <row r="157" spans="1:2" x14ac:dyDescent="0.3">
      <c r="A157" s="15"/>
      <c r="B157" s="15"/>
    </row>
    <row r="158" spans="1:2" x14ac:dyDescent="0.3">
      <c r="A158" s="15"/>
      <c r="B158" s="15"/>
    </row>
    <row r="159" spans="1:2" x14ac:dyDescent="0.3">
      <c r="A159" s="15"/>
      <c r="B159" s="15"/>
    </row>
    <row r="160" spans="1:2" x14ac:dyDescent="0.3">
      <c r="A160" s="15"/>
      <c r="B160" s="15"/>
    </row>
    <row r="161" spans="1:2" x14ac:dyDescent="0.3">
      <c r="A161" s="15"/>
      <c r="B161" s="15"/>
    </row>
    <row r="162" spans="1:2" x14ac:dyDescent="0.3">
      <c r="A162" s="15"/>
      <c r="B162" s="15"/>
    </row>
    <row r="163" spans="1:2" x14ac:dyDescent="0.3">
      <c r="A163" s="15"/>
      <c r="B163" s="15"/>
    </row>
    <row r="164" spans="1:2" x14ac:dyDescent="0.3">
      <c r="A164" s="15"/>
      <c r="B164" s="15"/>
    </row>
    <row r="165" spans="1:2" x14ac:dyDescent="0.3">
      <c r="A165" s="15"/>
      <c r="B165" s="15"/>
    </row>
    <row r="166" spans="1:2" x14ac:dyDescent="0.3">
      <c r="A166" s="15"/>
      <c r="B166" s="15"/>
    </row>
    <row r="167" spans="1:2" x14ac:dyDescent="0.3">
      <c r="A167" s="15"/>
      <c r="B167" s="15"/>
    </row>
    <row r="168" spans="1:2" x14ac:dyDescent="0.3">
      <c r="A168" s="15"/>
      <c r="B168" s="15"/>
    </row>
    <row r="169" spans="1:2" x14ac:dyDescent="0.3">
      <c r="A169" s="15"/>
      <c r="B169" s="15"/>
    </row>
    <row r="170" spans="1:2" x14ac:dyDescent="0.3">
      <c r="A170" s="15"/>
      <c r="B170" s="15"/>
    </row>
    <row r="171" spans="1:2" x14ac:dyDescent="0.3">
      <c r="A171" s="15"/>
      <c r="B171" s="15"/>
    </row>
    <row r="172" spans="1:2" x14ac:dyDescent="0.3">
      <c r="A172" s="15"/>
      <c r="B172" s="15"/>
    </row>
    <row r="173" spans="1:2" x14ac:dyDescent="0.3">
      <c r="A173" s="15"/>
      <c r="B173" s="15"/>
    </row>
    <row r="174" spans="1:2" x14ac:dyDescent="0.3">
      <c r="A174" s="15"/>
      <c r="B174" s="15"/>
    </row>
    <row r="175" spans="1:2" x14ac:dyDescent="0.3">
      <c r="A175" s="15"/>
      <c r="B175" s="15"/>
    </row>
    <row r="176" spans="1:2" x14ac:dyDescent="0.3">
      <c r="A176" s="15"/>
      <c r="B176" s="15"/>
    </row>
    <row r="177" spans="1:2" x14ac:dyDescent="0.3">
      <c r="A177" s="15"/>
      <c r="B177" s="15"/>
    </row>
    <row r="178" spans="1:2" x14ac:dyDescent="0.3">
      <c r="A178" s="15"/>
      <c r="B178" s="15"/>
    </row>
    <row r="179" spans="1:2" x14ac:dyDescent="0.3">
      <c r="A179" s="15"/>
      <c r="B179" s="15"/>
    </row>
    <row r="180" spans="1:2" x14ac:dyDescent="0.3">
      <c r="A180" s="15"/>
      <c r="B180" s="15"/>
    </row>
    <row r="181" spans="1:2" x14ac:dyDescent="0.3">
      <c r="A181" s="15"/>
      <c r="B181" s="15"/>
    </row>
    <row r="182" spans="1:2" x14ac:dyDescent="0.3">
      <c r="A182" s="15"/>
      <c r="B182" s="15"/>
    </row>
    <row r="183" spans="1:2" x14ac:dyDescent="0.3">
      <c r="A183" s="15"/>
      <c r="B183" s="15"/>
    </row>
    <row r="184" spans="1:2" x14ac:dyDescent="0.3">
      <c r="A184" s="15"/>
      <c r="B184" s="15"/>
    </row>
    <row r="185" spans="1:2" x14ac:dyDescent="0.3">
      <c r="A185" s="15"/>
      <c r="B185" s="15"/>
    </row>
    <row r="186" spans="1:2" x14ac:dyDescent="0.3">
      <c r="A186" s="15"/>
      <c r="B186" s="15"/>
    </row>
    <row r="187" spans="1:2" x14ac:dyDescent="0.3">
      <c r="A187" s="15"/>
      <c r="B187" s="15"/>
    </row>
    <row r="188" spans="1:2" x14ac:dyDescent="0.3">
      <c r="A188" s="15"/>
      <c r="B188" s="15"/>
    </row>
    <row r="189" spans="1:2" x14ac:dyDescent="0.3">
      <c r="A189" s="15"/>
      <c r="B189" s="15"/>
    </row>
    <row r="190" spans="1:2" x14ac:dyDescent="0.3">
      <c r="A190" s="15"/>
      <c r="B190" s="15"/>
    </row>
    <row r="191" spans="1:2" x14ac:dyDescent="0.3">
      <c r="A191" s="15"/>
      <c r="B191" s="15"/>
    </row>
    <row r="192" spans="1:2" x14ac:dyDescent="0.3">
      <c r="A192" s="15"/>
      <c r="B192" s="15"/>
    </row>
    <row r="193" spans="1:2" x14ac:dyDescent="0.3">
      <c r="A193" s="15"/>
      <c r="B193" s="15"/>
    </row>
    <row r="194" spans="1:2" x14ac:dyDescent="0.3">
      <c r="A194" s="15"/>
      <c r="B194" s="15"/>
    </row>
    <row r="195" spans="1:2" x14ac:dyDescent="0.3">
      <c r="A195" s="15"/>
      <c r="B195" s="15"/>
    </row>
    <row r="196" spans="1:2" x14ac:dyDescent="0.3">
      <c r="A196" s="15"/>
      <c r="B196" s="15"/>
    </row>
    <row r="197" spans="1:2" x14ac:dyDescent="0.3">
      <c r="A197" s="15"/>
      <c r="B197" s="15"/>
    </row>
    <row r="198" spans="1:2" x14ac:dyDescent="0.3">
      <c r="A198" s="15"/>
      <c r="B198" s="15"/>
    </row>
    <row r="199" spans="1:2" x14ac:dyDescent="0.3">
      <c r="A199" s="15"/>
      <c r="B199" s="15"/>
    </row>
    <row r="200" spans="1:2" x14ac:dyDescent="0.3">
      <c r="A200" s="15"/>
      <c r="B200" s="15"/>
    </row>
    <row r="201" spans="1:2" x14ac:dyDescent="0.3">
      <c r="A201" s="15"/>
      <c r="B201" s="15"/>
    </row>
    <row r="202" spans="1:2" x14ac:dyDescent="0.3">
      <c r="A202" s="15"/>
      <c r="B202" s="15"/>
    </row>
    <row r="203" spans="1:2" x14ac:dyDescent="0.3">
      <c r="A203" s="15"/>
      <c r="B203" s="15"/>
    </row>
    <row r="204" spans="1:2" x14ac:dyDescent="0.3">
      <c r="A204" s="15"/>
      <c r="B204" s="15"/>
    </row>
    <row r="205" spans="1:2" x14ac:dyDescent="0.3">
      <c r="A205" s="15"/>
      <c r="B205" s="15"/>
    </row>
    <row r="206" spans="1:2" x14ac:dyDescent="0.3">
      <c r="A206" s="15"/>
      <c r="B206" s="15"/>
    </row>
    <row r="207" spans="1:2" x14ac:dyDescent="0.3">
      <c r="A207" s="15"/>
      <c r="B207" s="15"/>
    </row>
    <row r="208" spans="1:2" x14ac:dyDescent="0.3">
      <c r="A208" s="15"/>
      <c r="B208" s="15"/>
    </row>
    <row r="209" spans="1:2" x14ac:dyDescent="0.3">
      <c r="A209" s="15"/>
      <c r="B209" s="15"/>
    </row>
    <row r="210" spans="1:2" x14ac:dyDescent="0.3">
      <c r="A210" s="15"/>
      <c r="B210" s="15"/>
    </row>
    <row r="211" spans="1:2" x14ac:dyDescent="0.3">
      <c r="A211" s="15"/>
      <c r="B211" s="15"/>
    </row>
    <row r="212" spans="1:2" x14ac:dyDescent="0.3">
      <c r="A212" s="15"/>
      <c r="B212" s="15"/>
    </row>
    <row r="213" spans="1:2" x14ac:dyDescent="0.3">
      <c r="A213" s="15"/>
      <c r="B213" s="15"/>
    </row>
    <row r="214" spans="1:2" x14ac:dyDescent="0.3">
      <c r="A214" s="15"/>
      <c r="B214" s="15"/>
    </row>
    <row r="215" spans="1:2" x14ac:dyDescent="0.3">
      <c r="A215" s="15"/>
      <c r="B215" s="15"/>
    </row>
    <row r="216" spans="1:2" x14ac:dyDescent="0.3">
      <c r="A216" s="15"/>
      <c r="B216" s="15"/>
    </row>
    <row r="217" spans="1:2" x14ac:dyDescent="0.3">
      <c r="A217" s="15"/>
      <c r="B217" s="15"/>
    </row>
    <row r="218" spans="1:2" x14ac:dyDescent="0.3">
      <c r="A218" s="15"/>
      <c r="B218" s="15"/>
    </row>
    <row r="219" spans="1:2" x14ac:dyDescent="0.3">
      <c r="A219" s="15"/>
      <c r="B219" s="15"/>
    </row>
    <row r="220" spans="1:2" x14ac:dyDescent="0.3">
      <c r="A220" s="15"/>
      <c r="B220" s="15"/>
    </row>
    <row r="221" spans="1:2" x14ac:dyDescent="0.3">
      <c r="A221" s="15"/>
      <c r="B221" s="15"/>
    </row>
    <row r="222" spans="1:2" x14ac:dyDescent="0.3">
      <c r="A222" s="15"/>
      <c r="B222" s="15"/>
    </row>
    <row r="223" spans="1:2" x14ac:dyDescent="0.3">
      <c r="A223" s="15"/>
      <c r="B223" s="15"/>
    </row>
    <row r="224" spans="1:2" x14ac:dyDescent="0.3">
      <c r="A224" s="15"/>
      <c r="B224" s="15"/>
    </row>
    <row r="225" spans="1:2" x14ac:dyDescent="0.3">
      <c r="A225" s="15"/>
      <c r="B225" s="15"/>
    </row>
    <row r="226" spans="1:2" x14ac:dyDescent="0.3">
      <c r="A226" s="15"/>
      <c r="B226" s="15"/>
    </row>
    <row r="227" spans="1:2" x14ac:dyDescent="0.3">
      <c r="A227" s="15"/>
      <c r="B227" s="15"/>
    </row>
    <row r="228" spans="1:2" x14ac:dyDescent="0.3">
      <c r="A228" s="15"/>
      <c r="B228" s="15"/>
    </row>
    <row r="229" spans="1:2" x14ac:dyDescent="0.3">
      <c r="A229" s="15"/>
      <c r="B229" s="15"/>
    </row>
    <row r="230" spans="1:2" x14ac:dyDescent="0.3">
      <c r="A230" s="15"/>
      <c r="B230" s="15"/>
    </row>
    <row r="231" spans="1:2" x14ac:dyDescent="0.3">
      <c r="A231" s="15"/>
      <c r="B231" s="15"/>
    </row>
    <row r="232" spans="1:2" x14ac:dyDescent="0.3">
      <c r="A232" s="15"/>
      <c r="B232" s="15"/>
    </row>
    <row r="233" spans="1:2" x14ac:dyDescent="0.3">
      <c r="A233" s="15"/>
      <c r="B233" s="15"/>
    </row>
    <row r="234" spans="1:2" x14ac:dyDescent="0.3">
      <c r="A234" s="15"/>
      <c r="B234" s="15"/>
    </row>
    <row r="235" spans="1:2" x14ac:dyDescent="0.3">
      <c r="A235" s="15"/>
      <c r="B235" s="15"/>
    </row>
    <row r="236" spans="1:2" x14ac:dyDescent="0.3">
      <c r="A236" s="15"/>
      <c r="B236" s="15"/>
    </row>
    <row r="237" spans="1:2" x14ac:dyDescent="0.3">
      <c r="A237" s="15"/>
      <c r="B237" s="15"/>
    </row>
    <row r="238" spans="1:2" x14ac:dyDescent="0.3">
      <c r="A238" s="15"/>
      <c r="B238" s="15"/>
    </row>
    <row r="239" spans="1:2" x14ac:dyDescent="0.3">
      <c r="A239" s="15"/>
      <c r="B239" s="15"/>
    </row>
    <row r="240" spans="1:2" x14ac:dyDescent="0.3">
      <c r="A240" s="15"/>
      <c r="B240" s="15"/>
    </row>
    <row r="241" spans="1:2" x14ac:dyDescent="0.3">
      <c r="A241" s="15"/>
      <c r="B241" s="15"/>
    </row>
    <row r="242" spans="1:2" x14ac:dyDescent="0.3">
      <c r="A242" s="15"/>
      <c r="B242" s="15"/>
    </row>
    <row r="243" spans="1:2" x14ac:dyDescent="0.3">
      <c r="A243" s="15"/>
      <c r="B243" s="15"/>
    </row>
    <row r="244" spans="1:2" x14ac:dyDescent="0.3">
      <c r="A244" s="15"/>
      <c r="B244" s="15"/>
    </row>
    <row r="245" spans="1:2" x14ac:dyDescent="0.3">
      <c r="A245" s="15"/>
      <c r="B245" s="15"/>
    </row>
    <row r="246" spans="1:2" x14ac:dyDescent="0.3">
      <c r="A246" s="15"/>
      <c r="B246" s="15"/>
    </row>
    <row r="247" spans="1:2" x14ac:dyDescent="0.3">
      <c r="A247" s="15"/>
      <c r="B247" s="15"/>
    </row>
    <row r="248" spans="1:2" x14ac:dyDescent="0.3">
      <c r="A248" s="15"/>
      <c r="B248" s="15"/>
    </row>
    <row r="249" spans="1:2" x14ac:dyDescent="0.3">
      <c r="A249" s="15"/>
      <c r="B249" s="15"/>
    </row>
    <row r="250" spans="1:2" x14ac:dyDescent="0.3">
      <c r="A250" s="15"/>
      <c r="B250" s="15"/>
    </row>
    <row r="251" spans="1:2" x14ac:dyDescent="0.3">
      <c r="A251" s="15"/>
      <c r="B251" s="15"/>
    </row>
    <row r="252" spans="1:2" x14ac:dyDescent="0.3">
      <c r="A252" s="15"/>
      <c r="B252" s="15"/>
    </row>
    <row r="253" spans="1:2" x14ac:dyDescent="0.3">
      <c r="A253" s="15"/>
      <c r="B253" s="15"/>
    </row>
    <row r="254" spans="1:2" x14ac:dyDescent="0.3">
      <c r="A254" s="15"/>
      <c r="B254" s="15"/>
    </row>
    <row r="255" spans="1:2" x14ac:dyDescent="0.3">
      <c r="A255" s="15"/>
      <c r="B255" s="15"/>
    </row>
    <row r="256" spans="1:2" x14ac:dyDescent="0.3">
      <c r="A256" s="15"/>
      <c r="B256" s="15"/>
    </row>
    <row r="257" spans="1:2" x14ac:dyDescent="0.3">
      <c r="A257" s="15"/>
      <c r="B257" s="15"/>
    </row>
    <row r="258" spans="1:2" x14ac:dyDescent="0.3">
      <c r="A258" s="15"/>
      <c r="B258" s="15"/>
    </row>
    <row r="259" spans="1:2" x14ac:dyDescent="0.3">
      <c r="A259" s="15"/>
      <c r="B259" s="15"/>
    </row>
    <row r="260" spans="1:2" x14ac:dyDescent="0.3">
      <c r="A260" s="15"/>
      <c r="B260" s="15"/>
    </row>
    <row r="261" spans="1:2" x14ac:dyDescent="0.3">
      <c r="A261" s="15"/>
      <c r="B261" s="15"/>
    </row>
    <row r="262" spans="1:2" x14ac:dyDescent="0.3">
      <c r="A262" s="15"/>
      <c r="B262" s="15"/>
    </row>
    <row r="263" spans="1:2" x14ac:dyDescent="0.3">
      <c r="A263" s="15"/>
      <c r="B263" s="15"/>
    </row>
    <row r="264" spans="1:2" x14ac:dyDescent="0.3">
      <c r="A264" s="15"/>
      <c r="B264" s="15"/>
    </row>
    <row r="265" spans="1:2" x14ac:dyDescent="0.3">
      <c r="A265" s="15"/>
      <c r="B265" s="15"/>
    </row>
    <row r="266" spans="1:2" x14ac:dyDescent="0.3">
      <c r="A266" s="15"/>
      <c r="B266" s="15"/>
    </row>
    <row r="267" spans="1:2" x14ac:dyDescent="0.3">
      <c r="A267" s="15"/>
      <c r="B267" s="15"/>
    </row>
    <row r="268" spans="1:2" x14ac:dyDescent="0.3">
      <c r="A268" s="15"/>
      <c r="B268" s="15"/>
    </row>
    <row r="269" spans="1:2" x14ac:dyDescent="0.3">
      <c r="A269" s="15"/>
      <c r="B269" s="15"/>
    </row>
    <row r="270" spans="1:2" x14ac:dyDescent="0.3">
      <c r="A270" s="15"/>
      <c r="B270" s="15"/>
    </row>
    <row r="271" spans="1:2" x14ac:dyDescent="0.3">
      <c r="A271" s="15"/>
      <c r="B271" s="15"/>
    </row>
    <row r="272" spans="1:2" x14ac:dyDescent="0.3">
      <c r="A272" s="15"/>
      <c r="B272" s="15"/>
    </row>
    <row r="273" spans="1:2" x14ac:dyDescent="0.3">
      <c r="A273" s="15"/>
      <c r="B273" s="15"/>
    </row>
    <row r="274" spans="1:2" x14ac:dyDescent="0.3">
      <c r="A274" s="15"/>
      <c r="B274" s="15"/>
    </row>
    <row r="275" spans="1:2" x14ac:dyDescent="0.3">
      <c r="A275" s="15"/>
      <c r="B275" s="15"/>
    </row>
    <row r="276" spans="1:2" x14ac:dyDescent="0.3">
      <c r="A276" s="15"/>
      <c r="B276" s="15"/>
    </row>
    <row r="277" spans="1:2" x14ac:dyDescent="0.3">
      <c r="A277" s="15"/>
      <c r="B277" s="15"/>
    </row>
    <row r="278" spans="1:2" x14ac:dyDescent="0.3">
      <c r="A278" s="15"/>
      <c r="B278" s="15"/>
    </row>
    <row r="279" spans="1:2" x14ac:dyDescent="0.3">
      <c r="A279" s="15"/>
      <c r="B279" s="15"/>
    </row>
    <row r="280" spans="1:2" x14ac:dyDescent="0.3">
      <c r="A280" s="15"/>
      <c r="B280" s="15"/>
    </row>
    <row r="281" spans="1:2" x14ac:dyDescent="0.3">
      <c r="A281" s="15"/>
      <c r="B281" s="15"/>
    </row>
    <row r="282" spans="1:2" x14ac:dyDescent="0.3">
      <c r="A282" s="15"/>
      <c r="B282" s="15"/>
    </row>
    <row r="283" spans="1:2" x14ac:dyDescent="0.3">
      <c r="A283" s="15"/>
      <c r="B283" s="15"/>
    </row>
    <row r="284" spans="1:2" x14ac:dyDescent="0.3">
      <c r="A284" s="15"/>
      <c r="B284" s="15"/>
    </row>
    <row r="285" spans="1:2" x14ac:dyDescent="0.3">
      <c r="A285" s="15"/>
      <c r="B285" s="15"/>
    </row>
    <row r="286" spans="1:2" x14ac:dyDescent="0.3">
      <c r="A286" s="15"/>
      <c r="B286" s="15"/>
    </row>
    <row r="287" spans="1:2" x14ac:dyDescent="0.3">
      <c r="A287" s="15"/>
      <c r="B287" s="15"/>
    </row>
    <row r="288" spans="1:2" x14ac:dyDescent="0.3">
      <c r="A288" s="15"/>
      <c r="B288" s="15"/>
    </row>
    <row r="289" spans="1:2" x14ac:dyDescent="0.3">
      <c r="A289" s="15"/>
      <c r="B289" s="15"/>
    </row>
    <row r="290" spans="1:2" x14ac:dyDescent="0.3">
      <c r="A290" s="15"/>
      <c r="B290" s="15"/>
    </row>
    <row r="291" spans="1:2" x14ac:dyDescent="0.3">
      <c r="A291" s="15"/>
      <c r="B291" s="15"/>
    </row>
    <row r="292" spans="1:2" x14ac:dyDescent="0.3">
      <c r="A292" s="15"/>
      <c r="B292" s="15"/>
    </row>
    <row r="293" spans="1:2" x14ac:dyDescent="0.3">
      <c r="A293" s="15"/>
      <c r="B293" s="15"/>
    </row>
    <row r="294" spans="1:2" x14ac:dyDescent="0.3">
      <c r="A294" s="15"/>
      <c r="B294" s="15"/>
    </row>
    <row r="295" spans="1:2" x14ac:dyDescent="0.3">
      <c r="A295" s="15"/>
      <c r="B295" s="15"/>
    </row>
    <row r="296" spans="1:2" x14ac:dyDescent="0.3">
      <c r="A296" s="15"/>
      <c r="B296" s="15"/>
    </row>
    <row r="297" spans="1:2" x14ac:dyDescent="0.3">
      <c r="A297" s="15"/>
      <c r="B297" s="15"/>
    </row>
    <row r="298" spans="1:2" x14ac:dyDescent="0.3">
      <c r="A298" s="15"/>
      <c r="B298" s="15"/>
    </row>
    <row r="299" spans="1:2" x14ac:dyDescent="0.3">
      <c r="A299" s="15"/>
      <c r="B299" s="15"/>
    </row>
    <row r="300" spans="1:2" x14ac:dyDescent="0.3">
      <c r="A300" s="15"/>
      <c r="B300" s="15"/>
    </row>
    <row r="301" spans="1:2" x14ac:dyDescent="0.3">
      <c r="A301" s="15"/>
      <c r="B301" s="15"/>
    </row>
    <row r="302" spans="1:2" x14ac:dyDescent="0.3">
      <c r="A302" s="15"/>
      <c r="B302" s="15"/>
    </row>
    <row r="303" spans="1:2" x14ac:dyDescent="0.3">
      <c r="A303" s="15"/>
      <c r="B303" s="15"/>
    </row>
    <row r="304" spans="1:2" x14ac:dyDescent="0.3">
      <c r="A304" s="15"/>
      <c r="B304" s="15"/>
    </row>
    <row r="305" spans="1:2" x14ac:dyDescent="0.3">
      <c r="A305" s="15"/>
      <c r="B305" s="15"/>
    </row>
    <row r="306" spans="1:2" x14ac:dyDescent="0.3">
      <c r="A306" s="15"/>
      <c r="B306" s="15"/>
    </row>
    <row r="307" spans="1:2" x14ac:dyDescent="0.3">
      <c r="A307" s="15"/>
      <c r="B307" s="15"/>
    </row>
    <row r="308" spans="1:2" x14ac:dyDescent="0.3">
      <c r="A308" s="15"/>
      <c r="B308" s="15"/>
    </row>
    <row r="309" spans="1:2" x14ac:dyDescent="0.3">
      <c r="A309" s="15"/>
      <c r="B309" s="15"/>
    </row>
    <row r="310" spans="1:2" x14ac:dyDescent="0.3">
      <c r="A310" s="15"/>
      <c r="B310" s="15"/>
    </row>
    <row r="311" spans="1:2" x14ac:dyDescent="0.3">
      <c r="A311" s="15"/>
      <c r="B311" s="15"/>
    </row>
    <row r="312" spans="1:2" x14ac:dyDescent="0.3">
      <c r="A312" s="15"/>
      <c r="B312" s="15"/>
    </row>
    <row r="313" spans="1:2" x14ac:dyDescent="0.3">
      <c r="A313" s="15"/>
      <c r="B313" s="15"/>
    </row>
    <row r="314" spans="1:2" x14ac:dyDescent="0.3">
      <c r="A314" s="15"/>
      <c r="B314" s="15"/>
    </row>
    <row r="315" spans="1:2" x14ac:dyDescent="0.3">
      <c r="A315" s="15"/>
      <c r="B315" s="15"/>
    </row>
    <row r="316" spans="1:2" x14ac:dyDescent="0.3">
      <c r="A316" s="15"/>
      <c r="B316" s="15"/>
    </row>
    <row r="317" spans="1:2" x14ac:dyDescent="0.3">
      <c r="A317" s="15"/>
      <c r="B317" s="15"/>
    </row>
    <row r="318" spans="1:2" x14ac:dyDescent="0.3">
      <c r="A318" s="15"/>
      <c r="B318" s="15"/>
    </row>
    <row r="319" spans="1:2" x14ac:dyDescent="0.3">
      <c r="A319" s="15"/>
      <c r="B319" s="15"/>
    </row>
    <row r="320" spans="1:2" x14ac:dyDescent="0.3">
      <c r="A320" s="15"/>
      <c r="B320" s="15"/>
    </row>
    <row r="321" spans="1:2" x14ac:dyDescent="0.3">
      <c r="A321" s="15"/>
      <c r="B321" s="15"/>
    </row>
    <row r="322" spans="1:2" x14ac:dyDescent="0.3">
      <c r="A322" s="15"/>
      <c r="B322" s="15"/>
    </row>
    <row r="323" spans="1:2" x14ac:dyDescent="0.3">
      <c r="A323" s="15"/>
      <c r="B323" s="15"/>
    </row>
    <row r="324" spans="1:2" x14ac:dyDescent="0.3">
      <c r="A324" s="15"/>
      <c r="B324" s="15"/>
    </row>
    <row r="325" spans="1:2" x14ac:dyDescent="0.3">
      <c r="A325" s="15"/>
      <c r="B325" s="15"/>
    </row>
    <row r="326" spans="1:2" x14ac:dyDescent="0.3">
      <c r="A326" s="15"/>
      <c r="B326" s="15"/>
    </row>
    <row r="327" spans="1:2" x14ac:dyDescent="0.3">
      <c r="A327" s="15"/>
      <c r="B327" s="15"/>
    </row>
    <row r="328" spans="1:2" x14ac:dyDescent="0.3">
      <c r="A328" s="15"/>
      <c r="B328" s="15"/>
    </row>
    <row r="329" spans="1:2" x14ac:dyDescent="0.3">
      <c r="A329" s="15"/>
      <c r="B329" s="15"/>
    </row>
    <row r="330" spans="1:2" x14ac:dyDescent="0.3">
      <c r="A330" s="15"/>
      <c r="B330" s="15"/>
    </row>
    <row r="331" spans="1:2" x14ac:dyDescent="0.3">
      <c r="A331" s="15"/>
      <c r="B331" s="15"/>
    </row>
    <row r="332" spans="1:2" x14ac:dyDescent="0.3">
      <c r="A332" s="15"/>
      <c r="B332" s="15"/>
    </row>
    <row r="333" spans="1:2" x14ac:dyDescent="0.3">
      <c r="A333" s="15"/>
      <c r="B333" s="15"/>
    </row>
    <row r="334" spans="1:2" x14ac:dyDescent="0.3">
      <c r="A334" s="15"/>
      <c r="B334" s="15"/>
    </row>
    <row r="335" spans="1:2" x14ac:dyDescent="0.3">
      <c r="A335" s="15"/>
      <c r="B335" s="15"/>
    </row>
    <row r="336" spans="1:2" x14ac:dyDescent="0.3">
      <c r="A336" s="15"/>
      <c r="B336" s="15"/>
    </row>
    <row r="337" spans="1:2" x14ac:dyDescent="0.3">
      <c r="A337" s="15"/>
      <c r="B337" s="15"/>
    </row>
    <row r="338" spans="1:2" x14ac:dyDescent="0.3">
      <c r="A338" s="15"/>
      <c r="B338" s="15"/>
    </row>
    <row r="339" spans="1:2" x14ac:dyDescent="0.3">
      <c r="A339" s="15"/>
      <c r="B339" s="15"/>
    </row>
    <row r="340" spans="1:2" x14ac:dyDescent="0.3">
      <c r="A340" s="15"/>
      <c r="B340" s="15"/>
    </row>
    <row r="341" spans="1:2" x14ac:dyDescent="0.3">
      <c r="A341" s="15"/>
      <c r="B341" s="15"/>
    </row>
    <row r="342" spans="1:2" x14ac:dyDescent="0.3">
      <c r="A342" s="15"/>
      <c r="B342" s="15"/>
    </row>
    <row r="343" spans="1:2" x14ac:dyDescent="0.3">
      <c r="A343" s="15"/>
      <c r="B343" s="15"/>
    </row>
    <row r="344" spans="1:2" x14ac:dyDescent="0.3">
      <c r="A344" s="15"/>
      <c r="B344" s="15"/>
    </row>
    <row r="345" spans="1:2" x14ac:dyDescent="0.3">
      <c r="A345" s="15"/>
      <c r="B345" s="15"/>
    </row>
    <row r="346" spans="1:2" x14ac:dyDescent="0.3">
      <c r="A346" s="15"/>
      <c r="B346" s="15"/>
    </row>
    <row r="347" spans="1:2" x14ac:dyDescent="0.3">
      <c r="A347" s="15"/>
      <c r="B347" s="15"/>
    </row>
    <row r="348" spans="1:2" x14ac:dyDescent="0.3">
      <c r="A348" s="15"/>
      <c r="B348" s="15"/>
    </row>
    <row r="349" spans="1:2" x14ac:dyDescent="0.3">
      <c r="A349" s="15"/>
      <c r="B349" s="15"/>
    </row>
    <row r="350" spans="1:2" x14ac:dyDescent="0.3">
      <c r="A350" s="15"/>
      <c r="B350" s="15"/>
    </row>
    <row r="351" spans="1:2" x14ac:dyDescent="0.3">
      <c r="A351" s="15"/>
      <c r="B351" s="15"/>
    </row>
    <row r="352" spans="1:2" x14ac:dyDescent="0.3">
      <c r="A352" s="15"/>
      <c r="B352" s="15"/>
    </row>
    <row r="353" spans="1:2" x14ac:dyDescent="0.3">
      <c r="A353" s="15"/>
      <c r="B353" s="15"/>
    </row>
    <row r="354" spans="1:2" x14ac:dyDescent="0.3">
      <c r="A354" s="15"/>
      <c r="B354" s="15"/>
    </row>
    <row r="355" spans="1:2" x14ac:dyDescent="0.3">
      <c r="A355" s="15"/>
      <c r="B355" s="15"/>
    </row>
    <row r="356" spans="1:2" x14ac:dyDescent="0.3">
      <c r="A356" s="15"/>
      <c r="B356" s="15"/>
    </row>
    <row r="357" spans="1:2" x14ac:dyDescent="0.3">
      <c r="A357" s="15"/>
      <c r="B357" s="15"/>
    </row>
    <row r="358" spans="1:2" x14ac:dyDescent="0.3">
      <c r="A358" s="15"/>
      <c r="B358" s="15"/>
    </row>
    <row r="359" spans="1:2" x14ac:dyDescent="0.3">
      <c r="A359" s="15"/>
      <c r="B359" s="15"/>
    </row>
    <row r="360" spans="1:2" x14ac:dyDescent="0.3">
      <c r="A360" s="15"/>
      <c r="B360" s="15"/>
    </row>
    <row r="361" spans="1:2" x14ac:dyDescent="0.3">
      <c r="A361" s="15"/>
      <c r="B361" s="15"/>
    </row>
    <row r="362" spans="1:2" x14ac:dyDescent="0.3">
      <c r="A362" s="15"/>
      <c r="B362" s="15"/>
    </row>
    <row r="363" spans="1:2" x14ac:dyDescent="0.3">
      <c r="A363" s="15"/>
      <c r="B363" s="15"/>
    </row>
    <row r="364" spans="1:2" x14ac:dyDescent="0.3">
      <c r="A364" s="15"/>
      <c r="B364" s="15"/>
    </row>
    <row r="365" spans="1:2" x14ac:dyDescent="0.3">
      <c r="A365" s="15"/>
      <c r="B365" s="15"/>
    </row>
    <row r="366" spans="1:2" x14ac:dyDescent="0.3">
      <c r="A366" s="15"/>
      <c r="B366" s="15"/>
    </row>
    <row r="367" spans="1:2" x14ac:dyDescent="0.3">
      <c r="A367" s="15"/>
      <c r="B367" s="15"/>
    </row>
    <row r="368" spans="1:2" x14ac:dyDescent="0.3">
      <c r="A368" s="15"/>
      <c r="B368" s="15"/>
    </row>
    <row r="369" spans="1:2" x14ac:dyDescent="0.3">
      <c r="A369" s="15"/>
      <c r="B369" s="15"/>
    </row>
    <row r="370" spans="1:2" x14ac:dyDescent="0.3">
      <c r="A370" s="15"/>
      <c r="B370" s="15"/>
    </row>
    <row r="371" spans="1:2" x14ac:dyDescent="0.3">
      <c r="A371" s="15"/>
      <c r="B371" s="15"/>
    </row>
    <row r="372" spans="1:2" x14ac:dyDescent="0.3">
      <c r="A372" s="15"/>
      <c r="B372" s="15"/>
    </row>
    <row r="373" spans="1:2" x14ac:dyDescent="0.3">
      <c r="A373" s="15"/>
      <c r="B373" s="15"/>
    </row>
    <row r="374" spans="1:2" x14ac:dyDescent="0.3">
      <c r="A374" s="15"/>
      <c r="B374" s="15"/>
    </row>
    <row r="375" spans="1:2" x14ac:dyDescent="0.3">
      <c r="A375" s="15"/>
      <c r="B375" s="15"/>
    </row>
    <row r="376" spans="1:2" x14ac:dyDescent="0.3">
      <c r="A376" s="15"/>
      <c r="B376" s="15"/>
    </row>
    <row r="377" spans="1:2" x14ac:dyDescent="0.3">
      <c r="A377" s="15"/>
      <c r="B377" s="15"/>
    </row>
    <row r="378" spans="1:2" x14ac:dyDescent="0.3">
      <c r="A378" s="15"/>
      <c r="B378" s="15"/>
    </row>
    <row r="379" spans="1:2" x14ac:dyDescent="0.3">
      <c r="A379" s="15"/>
      <c r="B379" s="15"/>
    </row>
    <row r="380" spans="1:2" x14ac:dyDescent="0.3">
      <c r="A380" s="15"/>
      <c r="B380" s="15"/>
    </row>
    <row r="381" spans="1:2" x14ac:dyDescent="0.3">
      <c r="A381" s="15"/>
      <c r="B381" s="15"/>
    </row>
    <row r="382" spans="1:2" x14ac:dyDescent="0.3">
      <c r="A382" s="15"/>
      <c r="B382" s="15"/>
    </row>
    <row r="383" spans="1:2" x14ac:dyDescent="0.3">
      <c r="A383" s="15"/>
      <c r="B383" s="15"/>
    </row>
    <row r="384" spans="1:2" x14ac:dyDescent="0.3">
      <c r="A384" s="15"/>
      <c r="B384" s="15"/>
    </row>
    <row r="385" spans="1:2" x14ac:dyDescent="0.3">
      <c r="A385" s="15"/>
      <c r="B385" s="15"/>
    </row>
    <row r="386" spans="1:2" x14ac:dyDescent="0.3">
      <c r="A386" s="15"/>
      <c r="B386" s="15"/>
    </row>
    <row r="387" spans="1:2" x14ac:dyDescent="0.3">
      <c r="A387" s="15"/>
      <c r="B387" s="15"/>
    </row>
    <row r="388" spans="1:2" x14ac:dyDescent="0.3">
      <c r="A388" s="15"/>
      <c r="B388" s="15"/>
    </row>
    <row r="389" spans="1:2" x14ac:dyDescent="0.3">
      <c r="A389" s="15"/>
      <c r="B389" s="15"/>
    </row>
    <row r="390" spans="1:2" x14ac:dyDescent="0.3">
      <c r="A390" s="15"/>
      <c r="B390" s="15"/>
    </row>
    <row r="391" spans="1:2" x14ac:dyDescent="0.3">
      <c r="A391" s="15"/>
      <c r="B391" s="15"/>
    </row>
    <row r="392" spans="1:2" x14ac:dyDescent="0.3">
      <c r="A392" s="15"/>
      <c r="B392" s="15"/>
    </row>
    <row r="393" spans="1:2" x14ac:dyDescent="0.3">
      <c r="A393" s="15"/>
      <c r="B393" s="15"/>
    </row>
    <row r="394" spans="1:2" x14ac:dyDescent="0.3">
      <c r="A394" s="15"/>
      <c r="B394" s="15"/>
    </row>
    <row r="395" spans="1:2" x14ac:dyDescent="0.3">
      <c r="A395" s="15"/>
      <c r="B395" s="15"/>
    </row>
    <row r="396" spans="1:2" x14ac:dyDescent="0.3">
      <c r="A396" s="15"/>
      <c r="B396" s="15"/>
    </row>
    <row r="397" spans="1:2" x14ac:dyDescent="0.3">
      <c r="A397" s="15"/>
      <c r="B397" s="15"/>
    </row>
    <row r="398" spans="1:2" x14ac:dyDescent="0.3">
      <c r="A398" s="15"/>
      <c r="B398" s="15"/>
    </row>
    <row r="399" spans="1:2" x14ac:dyDescent="0.3">
      <c r="A399" s="15"/>
      <c r="B399" s="15"/>
    </row>
    <row r="400" spans="1:2" x14ac:dyDescent="0.3">
      <c r="A400" s="15"/>
      <c r="B400" s="15"/>
    </row>
    <row r="401" spans="1:2" x14ac:dyDescent="0.3">
      <c r="A401" s="15"/>
      <c r="B401" s="15"/>
    </row>
    <row r="402" spans="1:2" x14ac:dyDescent="0.3">
      <c r="A402" s="15"/>
      <c r="B402" s="15"/>
    </row>
    <row r="403" spans="1:2" x14ac:dyDescent="0.3">
      <c r="A403" s="15"/>
      <c r="B403" s="15"/>
    </row>
    <row r="404" spans="1:2" x14ac:dyDescent="0.3">
      <c r="A404" s="15"/>
      <c r="B404" s="15"/>
    </row>
    <row r="405" spans="1:2" x14ac:dyDescent="0.3">
      <c r="A405" s="15"/>
      <c r="B405" s="15"/>
    </row>
    <row r="406" spans="1:2" x14ac:dyDescent="0.3">
      <c r="A406" s="15"/>
      <c r="B406" s="15"/>
    </row>
    <row r="407" spans="1:2" x14ac:dyDescent="0.3">
      <c r="A407" s="15"/>
      <c r="B407" s="15"/>
    </row>
    <row r="408" spans="1:2" x14ac:dyDescent="0.3">
      <c r="A408" s="15"/>
      <c r="B408" s="15"/>
    </row>
    <row r="409" spans="1:2" x14ac:dyDescent="0.3">
      <c r="A409" s="15"/>
      <c r="B409" s="15"/>
    </row>
    <row r="410" spans="1:2" x14ac:dyDescent="0.3">
      <c r="A410" s="15"/>
      <c r="B410" s="15"/>
    </row>
    <row r="411" spans="1:2" x14ac:dyDescent="0.3">
      <c r="A411" s="15"/>
      <c r="B411" s="15"/>
    </row>
    <row r="412" spans="1:2" x14ac:dyDescent="0.3">
      <c r="A412" s="15"/>
      <c r="B412" s="15"/>
    </row>
    <row r="413" spans="1:2" x14ac:dyDescent="0.3">
      <c r="A413" s="15"/>
      <c r="B413" s="15"/>
    </row>
    <row r="414" spans="1:2" x14ac:dyDescent="0.3">
      <c r="A414" s="15"/>
      <c r="B414" s="15"/>
    </row>
    <row r="415" spans="1:2" x14ac:dyDescent="0.3">
      <c r="A415" s="15"/>
      <c r="B415" s="15"/>
    </row>
    <row r="416" spans="1:2" x14ac:dyDescent="0.3">
      <c r="A416" s="15"/>
      <c r="B416" s="15"/>
    </row>
    <row r="417" spans="1:2" x14ac:dyDescent="0.3">
      <c r="A417" s="15"/>
      <c r="B417" s="15"/>
    </row>
    <row r="418" spans="1:2" x14ac:dyDescent="0.3">
      <c r="A418" s="15"/>
      <c r="B418" s="15"/>
    </row>
    <row r="419" spans="1:2" x14ac:dyDescent="0.3">
      <c r="A419" s="15"/>
      <c r="B419" s="15"/>
    </row>
    <row r="420" spans="1:2" x14ac:dyDescent="0.3">
      <c r="A420" s="15"/>
      <c r="B420" s="15"/>
    </row>
    <row r="421" spans="1:2" x14ac:dyDescent="0.3">
      <c r="A421" s="15"/>
      <c r="B421" s="15"/>
    </row>
    <row r="422" spans="1:2" x14ac:dyDescent="0.3">
      <c r="A422" s="15"/>
      <c r="B422" s="15"/>
    </row>
    <row r="423" spans="1:2" x14ac:dyDescent="0.3">
      <c r="A423" s="15"/>
      <c r="B423" s="15"/>
    </row>
    <row r="424" spans="1:2" x14ac:dyDescent="0.3">
      <c r="A424" s="15"/>
      <c r="B424" s="15"/>
    </row>
    <row r="425" spans="1:2" x14ac:dyDescent="0.3">
      <c r="A425" s="15"/>
      <c r="B425" s="15"/>
    </row>
    <row r="426" spans="1:2" x14ac:dyDescent="0.3">
      <c r="A426" s="15"/>
      <c r="B426" s="15"/>
    </row>
    <row r="427" spans="1:2" x14ac:dyDescent="0.3">
      <c r="A427" s="15"/>
      <c r="B427" s="15"/>
    </row>
    <row r="428" spans="1:2" x14ac:dyDescent="0.3">
      <c r="A428" s="15"/>
      <c r="B428" s="15"/>
    </row>
    <row r="429" spans="1:2" x14ac:dyDescent="0.3">
      <c r="A429" s="15"/>
      <c r="B429" s="15"/>
    </row>
    <row r="430" spans="1:2" x14ac:dyDescent="0.3">
      <c r="A430" s="15"/>
      <c r="B430" s="15"/>
    </row>
    <row r="431" spans="1:2" x14ac:dyDescent="0.3">
      <c r="A431" s="15"/>
      <c r="B431" s="15"/>
    </row>
    <row r="432" spans="1:2" x14ac:dyDescent="0.3">
      <c r="A432" s="15"/>
      <c r="B432" s="15"/>
    </row>
    <row r="433" spans="1:2" x14ac:dyDescent="0.3">
      <c r="A433" s="15"/>
      <c r="B433" s="15"/>
    </row>
    <row r="434" spans="1:2" x14ac:dyDescent="0.3">
      <c r="A434" s="15"/>
      <c r="B434" s="15"/>
    </row>
    <row r="435" spans="1:2" x14ac:dyDescent="0.3">
      <c r="A435" s="15"/>
      <c r="B435" s="15"/>
    </row>
    <row r="436" spans="1:2" x14ac:dyDescent="0.3">
      <c r="A436" s="15"/>
      <c r="B436" s="15"/>
    </row>
    <row r="437" spans="1:2" x14ac:dyDescent="0.3">
      <c r="A437" s="15"/>
      <c r="B437" s="15"/>
    </row>
    <row r="438" spans="1:2" x14ac:dyDescent="0.3">
      <c r="A438" s="15"/>
      <c r="B438" s="15"/>
    </row>
    <row r="439" spans="1:2" x14ac:dyDescent="0.3">
      <c r="A439" s="15"/>
      <c r="B439" s="15"/>
    </row>
    <row r="440" spans="1:2" x14ac:dyDescent="0.3">
      <c r="A440" s="15"/>
      <c r="B440" s="15"/>
    </row>
    <row r="441" spans="1:2" x14ac:dyDescent="0.3">
      <c r="A441" s="15"/>
      <c r="B441" s="15"/>
    </row>
    <row r="442" spans="1:2" x14ac:dyDescent="0.3">
      <c r="A442" s="15"/>
      <c r="B442" s="15"/>
    </row>
    <row r="443" spans="1:2" x14ac:dyDescent="0.3">
      <c r="A443" s="15"/>
      <c r="B443" s="15"/>
    </row>
    <row r="444" spans="1:2" x14ac:dyDescent="0.3">
      <c r="A444" s="15"/>
      <c r="B444" s="15"/>
    </row>
    <row r="445" spans="1:2" x14ac:dyDescent="0.3">
      <c r="A445" s="15"/>
      <c r="B445" s="15"/>
    </row>
    <row r="446" spans="1:2" x14ac:dyDescent="0.3">
      <c r="A446" s="15"/>
      <c r="B446" s="15"/>
    </row>
    <row r="447" spans="1:2" x14ac:dyDescent="0.3">
      <c r="A447" s="15"/>
      <c r="B447" s="15"/>
    </row>
    <row r="448" spans="1:2" x14ac:dyDescent="0.3">
      <c r="A448" s="15"/>
      <c r="B448" s="15"/>
    </row>
    <row r="449" spans="1:2" x14ac:dyDescent="0.3">
      <c r="A449" s="15"/>
      <c r="B449" s="15"/>
    </row>
    <row r="450" spans="1:2" x14ac:dyDescent="0.3">
      <c r="A450" s="15"/>
      <c r="B450" s="15"/>
    </row>
    <row r="451" spans="1:2" x14ac:dyDescent="0.3">
      <c r="A451" s="15"/>
      <c r="B451" s="15"/>
    </row>
    <row r="452" spans="1:2" x14ac:dyDescent="0.3">
      <c r="A452" s="15"/>
      <c r="B452" s="15"/>
    </row>
    <row r="453" spans="1:2" x14ac:dyDescent="0.3">
      <c r="A453" s="15"/>
      <c r="B453" s="15"/>
    </row>
    <row r="454" spans="1:2" x14ac:dyDescent="0.3">
      <c r="A454" s="15"/>
      <c r="B454" s="15"/>
    </row>
    <row r="455" spans="1:2" x14ac:dyDescent="0.3">
      <c r="A455" s="15"/>
      <c r="B455" s="15"/>
    </row>
    <row r="456" spans="1:2" x14ac:dyDescent="0.3">
      <c r="A456" s="15"/>
      <c r="B456" s="15"/>
    </row>
    <row r="457" spans="1:2" x14ac:dyDescent="0.3">
      <c r="A457" s="15"/>
      <c r="B457" s="15"/>
    </row>
    <row r="458" spans="1:2" x14ac:dyDescent="0.3">
      <c r="A458" s="15"/>
      <c r="B458" s="15"/>
    </row>
    <row r="459" spans="1:2" x14ac:dyDescent="0.3">
      <c r="A459" s="15"/>
      <c r="B459" s="15"/>
    </row>
    <row r="460" spans="1:2" x14ac:dyDescent="0.3">
      <c r="A460" s="15"/>
      <c r="B460" s="15"/>
    </row>
    <row r="461" spans="1:2" x14ac:dyDescent="0.3">
      <c r="A461" s="15"/>
      <c r="B461" s="15"/>
    </row>
    <row r="462" spans="1:2" x14ac:dyDescent="0.3">
      <c r="A462" s="15"/>
      <c r="B462" s="15"/>
    </row>
    <row r="463" spans="1:2" x14ac:dyDescent="0.3">
      <c r="A463" s="15"/>
      <c r="B463" s="15"/>
    </row>
    <row r="464" spans="1:2" x14ac:dyDescent="0.3">
      <c r="A464" s="15"/>
      <c r="B464" s="15"/>
    </row>
    <row r="465" spans="1:2" x14ac:dyDescent="0.3">
      <c r="A465" s="15"/>
      <c r="B465" s="15"/>
    </row>
    <row r="466" spans="1:2" x14ac:dyDescent="0.3">
      <c r="A466" s="15"/>
      <c r="B466" s="15"/>
    </row>
    <row r="467" spans="1:2" x14ac:dyDescent="0.3">
      <c r="A467" s="15"/>
      <c r="B467" s="15"/>
    </row>
    <row r="468" spans="1:2" x14ac:dyDescent="0.3">
      <c r="A468" s="15"/>
      <c r="B468" s="15"/>
    </row>
    <row r="469" spans="1:2" x14ac:dyDescent="0.3">
      <c r="A469" s="15"/>
      <c r="B469" s="15"/>
    </row>
    <row r="470" spans="1:2" x14ac:dyDescent="0.3">
      <c r="A470" s="15"/>
      <c r="B470" s="15"/>
    </row>
    <row r="471" spans="1:2" x14ac:dyDescent="0.3">
      <c r="A471" s="15"/>
      <c r="B471" s="15"/>
    </row>
    <row r="472" spans="1:2" x14ac:dyDescent="0.3">
      <c r="A472" s="15"/>
      <c r="B472" s="15"/>
    </row>
    <row r="473" spans="1:2" x14ac:dyDescent="0.3">
      <c r="A473" s="15"/>
      <c r="B473" s="15"/>
    </row>
    <row r="474" spans="1:2" x14ac:dyDescent="0.3">
      <c r="A474" s="15"/>
      <c r="B474" s="15"/>
    </row>
    <row r="475" spans="1:2" x14ac:dyDescent="0.3">
      <c r="A475" s="15"/>
      <c r="B475" s="15"/>
    </row>
    <row r="476" spans="1:2" x14ac:dyDescent="0.3">
      <c r="A476" s="15"/>
      <c r="B476" s="15"/>
    </row>
    <row r="477" spans="1:2" x14ac:dyDescent="0.3">
      <c r="A477" s="15"/>
      <c r="B477" s="15"/>
    </row>
    <row r="478" spans="1:2" x14ac:dyDescent="0.3">
      <c r="A478" s="15"/>
      <c r="B478" s="15"/>
    </row>
    <row r="479" spans="1:2" x14ac:dyDescent="0.3">
      <c r="A479" s="15"/>
      <c r="B479" s="15"/>
    </row>
    <row r="480" spans="1:2" x14ac:dyDescent="0.3">
      <c r="A480" s="15"/>
      <c r="B480" s="15"/>
    </row>
    <row r="481" spans="1:2" x14ac:dyDescent="0.3">
      <c r="A481" s="15"/>
      <c r="B481" s="15"/>
    </row>
    <row r="482" spans="1:2" x14ac:dyDescent="0.3">
      <c r="A482" s="15"/>
      <c r="B482" s="15"/>
    </row>
    <row r="483" spans="1:2" x14ac:dyDescent="0.3">
      <c r="A483" s="15"/>
      <c r="B483" s="15"/>
    </row>
    <row r="484" spans="1:2" x14ac:dyDescent="0.3">
      <c r="A484" s="15"/>
      <c r="B484" s="15"/>
    </row>
    <row r="485" spans="1:2" x14ac:dyDescent="0.3">
      <c r="A485" s="15"/>
      <c r="B485" s="15"/>
    </row>
    <row r="486" spans="1:2" x14ac:dyDescent="0.3">
      <c r="A486" s="15"/>
      <c r="B486" s="15"/>
    </row>
    <row r="487" spans="1:2" x14ac:dyDescent="0.3">
      <c r="A487" s="15"/>
      <c r="B487" s="15"/>
    </row>
    <row r="488" spans="1:2" x14ac:dyDescent="0.3">
      <c r="A488" s="15"/>
      <c r="B488" s="15"/>
    </row>
    <row r="489" spans="1:2" x14ac:dyDescent="0.3">
      <c r="A489" s="15"/>
      <c r="B489" s="15"/>
    </row>
    <row r="490" spans="1:2" x14ac:dyDescent="0.3">
      <c r="A490" s="15"/>
      <c r="B490" s="15"/>
    </row>
    <row r="491" spans="1:2" x14ac:dyDescent="0.3">
      <c r="A491" s="15"/>
      <c r="B491" s="15"/>
    </row>
    <row r="492" spans="1:2" x14ac:dyDescent="0.3">
      <c r="A492" s="15"/>
      <c r="B492" s="15"/>
    </row>
    <row r="493" spans="1:2" x14ac:dyDescent="0.3">
      <c r="A493" s="15"/>
      <c r="B493" s="15"/>
    </row>
    <row r="494" spans="1:2" x14ac:dyDescent="0.3">
      <c r="A494" s="15"/>
      <c r="B494" s="15"/>
    </row>
    <row r="495" spans="1:2" x14ac:dyDescent="0.3">
      <c r="A495" s="15"/>
      <c r="B495" s="15"/>
    </row>
    <row r="496" spans="1:2" x14ac:dyDescent="0.3">
      <c r="A496" s="15"/>
      <c r="B496" s="15"/>
    </row>
    <row r="497" spans="1:2" x14ac:dyDescent="0.3">
      <c r="A497" s="15"/>
      <c r="B497" s="15"/>
    </row>
    <row r="498" spans="1:2" x14ac:dyDescent="0.3">
      <c r="A498" s="15"/>
      <c r="B498" s="15"/>
    </row>
    <row r="499" spans="1:2" x14ac:dyDescent="0.3">
      <c r="A499" s="15"/>
      <c r="B499" s="15"/>
    </row>
    <row r="500" spans="1:2" x14ac:dyDescent="0.3">
      <c r="A500" s="15"/>
      <c r="B500" s="15"/>
    </row>
    <row r="501" spans="1:2" x14ac:dyDescent="0.3">
      <c r="A501" s="15"/>
      <c r="B501" s="15"/>
    </row>
    <row r="502" spans="1:2" x14ac:dyDescent="0.3">
      <c r="A502" s="15"/>
      <c r="B502" s="15"/>
    </row>
    <row r="503" spans="1:2" x14ac:dyDescent="0.3">
      <c r="A503" s="15"/>
      <c r="B503" s="15"/>
    </row>
    <row r="504" spans="1:2" x14ac:dyDescent="0.3">
      <c r="A504" s="15"/>
      <c r="B504" s="15"/>
    </row>
    <row r="505" spans="1:2" x14ac:dyDescent="0.3">
      <c r="A505" s="15"/>
      <c r="B505" s="15"/>
    </row>
    <row r="506" spans="1:2" x14ac:dyDescent="0.3">
      <c r="A506" s="15"/>
      <c r="B506" s="15"/>
    </row>
    <row r="507" spans="1:2" x14ac:dyDescent="0.3">
      <c r="A507" s="15"/>
      <c r="B507" s="15"/>
    </row>
    <row r="508" spans="1:2" x14ac:dyDescent="0.3">
      <c r="A508" s="15"/>
      <c r="B508" s="15"/>
    </row>
    <row r="509" spans="1:2" x14ac:dyDescent="0.3">
      <c r="A509" s="15"/>
      <c r="B509" s="15"/>
    </row>
    <row r="510" spans="1:2" x14ac:dyDescent="0.3">
      <c r="A510" s="15"/>
      <c r="B510" s="15"/>
    </row>
    <row r="511" spans="1:2" x14ac:dyDescent="0.3">
      <c r="A511" s="15"/>
      <c r="B511" s="15"/>
    </row>
    <row r="512" spans="1:2" x14ac:dyDescent="0.3">
      <c r="A512" s="15"/>
      <c r="B512" s="15"/>
    </row>
    <row r="513" spans="1:2" x14ac:dyDescent="0.3">
      <c r="A513" s="15"/>
      <c r="B513" s="15"/>
    </row>
    <row r="514" spans="1:2" x14ac:dyDescent="0.3">
      <c r="A514" s="15"/>
      <c r="B514" s="15"/>
    </row>
    <row r="515" spans="1:2" x14ac:dyDescent="0.3">
      <c r="A515" s="15"/>
      <c r="B515" s="15"/>
    </row>
    <row r="516" spans="1:2" x14ac:dyDescent="0.3">
      <c r="A516" s="15"/>
      <c r="B516" s="15"/>
    </row>
    <row r="517" spans="1:2" x14ac:dyDescent="0.3">
      <c r="A517" s="15"/>
      <c r="B517" s="15"/>
    </row>
    <row r="518" spans="1:2" x14ac:dyDescent="0.3">
      <c r="A518" s="15"/>
      <c r="B518" s="15"/>
    </row>
    <row r="519" spans="1:2" x14ac:dyDescent="0.3">
      <c r="A519" s="15"/>
      <c r="B519" s="15"/>
    </row>
    <row r="520" spans="1:2" x14ac:dyDescent="0.3">
      <c r="A520" s="15"/>
      <c r="B520" s="15"/>
    </row>
    <row r="521" spans="1:2" x14ac:dyDescent="0.3">
      <c r="A521" s="15"/>
      <c r="B521" s="15"/>
    </row>
    <row r="522" spans="1:2" x14ac:dyDescent="0.3">
      <c r="A522" s="15"/>
      <c r="B522" s="15"/>
    </row>
    <row r="523" spans="1:2" x14ac:dyDescent="0.3">
      <c r="A523" s="15"/>
      <c r="B523" s="15"/>
    </row>
    <row r="524" spans="1:2" x14ac:dyDescent="0.3">
      <c r="A524" s="15"/>
      <c r="B524" s="15"/>
    </row>
    <row r="525" spans="1:2" x14ac:dyDescent="0.3">
      <c r="A525" s="15"/>
      <c r="B525" s="15"/>
    </row>
    <row r="526" spans="1:2" x14ac:dyDescent="0.3">
      <c r="A526" s="15"/>
      <c r="B526" s="15"/>
    </row>
    <row r="527" spans="1:2" x14ac:dyDescent="0.3">
      <c r="A527" s="15"/>
      <c r="B527" s="15"/>
    </row>
    <row r="528" spans="1:2" x14ac:dyDescent="0.3">
      <c r="A528" s="15"/>
      <c r="B528" s="15"/>
    </row>
    <row r="529" spans="1:2" x14ac:dyDescent="0.3">
      <c r="A529" s="15"/>
      <c r="B529" s="15"/>
    </row>
    <row r="530" spans="1:2" x14ac:dyDescent="0.3">
      <c r="A530" s="15"/>
      <c r="B530" s="15"/>
    </row>
    <row r="531" spans="1:2" x14ac:dyDescent="0.3">
      <c r="A531" s="15"/>
      <c r="B531" s="15"/>
    </row>
    <row r="532" spans="1:2" x14ac:dyDescent="0.3">
      <c r="A532" s="15"/>
      <c r="B532" s="15"/>
    </row>
    <row r="533" spans="1:2" x14ac:dyDescent="0.3">
      <c r="A533" s="15"/>
      <c r="B533" s="15"/>
    </row>
    <row r="534" spans="1:2" x14ac:dyDescent="0.3">
      <c r="A534" s="15"/>
      <c r="B534" s="15"/>
    </row>
    <row r="535" spans="1:2" x14ac:dyDescent="0.3">
      <c r="A535" s="15"/>
      <c r="B535" s="15"/>
    </row>
    <row r="536" spans="1:2" x14ac:dyDescent="0.3">
      <c r="A536" s="15"/>
      <c r="B536" s="15"/>
    </row>
    <row r="537" spans="1:2" x14ac:dyDescent="0.3">
      <c r="A537" s="15"/>
      <c r="B537" s="15"/>
    </row>
    <row r="538" spans="1:2" x14ac:dyDescent="0.3">
      <c r="A538" s="15"/>
      <c r="B538" s="15"/>
    </row>
    <row r="539" spans="1:2" x14ac:dyDescent="0.3">
      <c r="A539" s="15"/>
      <c r="B539" s="15"/>
    </row>
    <row r="540" spans="1:2" x14ac:dyDescent="0.3">
      <c r="A540" s="15"/>
      <c r="B540" s="15"/>
    </row>
    <row r="541" spans="1:2" x14ac:dyDescent="0.3">
      <c r="A541" s="15"/>
      <c r="B541" s="15"/>
    </row>
    <row r="542" spans="1:2" x14ac:dyDescent="0.3">
      <c r="A542" s="15"/>
      <c r="B542" s="15"/>
    </row>
    <row r="543" spans="1:2" x14ac:dyDescent="0.3">
      <c r="A543" s="15"/>
      <c r="B543" s="15"/>
    </row>
    <row r="544" spans="1:2" x14ac:dyDescent="0.3">
      <c r="A544" s="15"/>
      <c r="B544" s="15"/>
    </row>
    <row r="545" spans="1:2" x14ac:dyDescent="0.3">
      <c r="A545" s="15"/>
      <c r="B545" s="15"/>
    </row>
    <row r="546" spans="1:2" x14ac:dyDescent="0.3">
      <c r="A546" s="15"/>
      <c r="B546" s="15"/>
    </row>
    <row r="547" spans="1:2" x14ac:dyDescent="0.3">
      <c r="A547" s="15"/>
      <c r="B547" s="15"/>
    </row>
    <row r="548" spans="1:2" x14ac:dyDescent="0.3">
      <c r="A548" s="15"/>
      <c r="B548" s="15"/>
    </row>
    <row r="549" spans="1:2" x14ac:dyDescent="0.3">
      <c r="A549" s="15"/>
      <c r="B549" s="15"/>
    </row>
    <row r="550" spans="1:2" x14ac:dyDescent="0.3">
      <c r="A550" s="15"/>
      <c r="B550" s="15"/>
    </row>
    <row r="551" spans="1:2" x14ac:dyDescent="0.3">
      <c r="A551" s="15"/>
      <c r="B551" s="15"/>
    </row>
    <row r="552" spans="1:2" x14ac:dyDescent="0.3">
      <c r="A552" s="15"/>
      <c r="B552" s="15"/>
    </row>
    <row r="553" spans="1:2" x14ac:dyDescent="0.3">
      <c r="A553" s="15"/>
      <c r="B553" s="15"/>
    </row>
    <row r="554" spans="1:2" x14ac:dyDescent="0.3">
      <c r="A554" s="15"/>
      <c r="B554" s="15"/>
    </row>
    <row r="555" spans="1:2" x14ac:dyDescent="0.3">
      <c r="A555" s="15"/>
      <c r="B555" s="15"/>
    </row>
    <row r="556" spans="1:2" x14ac:dyDescent="0.3">
      <c r="A556" s="15"/>
      <c r="B556" s="15"/>
    </row>
    <row r="557" spans="1:2" x14ac:dyDescent="0.3">
      <c r="A557" s="15"/>
      <c r="B557" s="15"/>
    </row>
    <row r="558" spans="1:2" x14ac:dyDescent="0.3">
      <c r="A558" s="15"/>
      <c r="B558" s="15"/>
    </row>
    <row r="559" spans="1:2" x14ac:dyDescent="0.3">
      <c r="A559" s="15"/>
      <c r="B559" s="15"/>
    </row>
    <row r="560" spans="1:2" x14ac:dyDescent="0.3">
      <c r="A560" s="15"/>
      <c r="B560" s="15"/>
    </row>
    <row r="561" spans="1:2" x14ac:dyDescent="0.3">
      <c r="A561" s="15"/>
      <c r="B561" s="15"/>
    </row>
    <row r="562" spans="1:2" x14ac:dyDescent="0.3">
      <c r="A562" s="15"/>
      <c r="B562" s="15"/>
    </row>
    <row r="563" spans="1:2" x14ac:dyDescent="0.3">
      <c r="A563" s="15"/>
      <c r="B563" s="15"/>
    </row>
    <row r="564" spans="1:2" x14ac:dyDescent="0.3">
      <c r="A564" s="15"/>
      <c r="B564" s="15"/>
    </row>
    <row r="565" spans="1:2" x14ac:dyDescent="0.3">
      <c r="A565" s="15"/>
      <c r="B565" s="15"/>
    </row>
    <row r="566" spans="1:2" x14ac:dyDescent="0.3">
      <c r="A566" s="15"/>
      <c r="B566" s="15"/>
    </row>
    <row r="567" spans="1:2" x14ac:dyDescent="0.3">
      <c r="A567" s="15"/>
      <c r="B567" s="15"/>
    </row>
    <row r="568" spans="1:2" x14ac:dyDescent="0.3">
      <c r="A568" s="15"/>
      <c r="B568" s="15"/>
    </row>
    <row r="569" spans="1:2" x14ac:dyDescent="0.3">
      <c r="A569" s="15"/>
      <c r="B569" s="15"/>
    </row>
    <row r="570" spans="1:2" x14ac:dyDescent="0.3">
      <c r="A570" s="15"/>
      <c r="B570" s="15"/>
    </row>
    <row r="571" spans="1:2" x14ac:dyDescent="0.3">
      <c r="A571" s="15"/>
      <c r="B571" s="15"/>
    </row>
    <row r="572" spans="1:2" x14ac:dyDescent="0.3">
      <c r="A572" s="15"/>
      <c r="B572" s="15"/>
    </row>
    <row r="573" spans="1:2" x14ac:dyDescent="0.3">
      <c r="A573" s="15"/>
      <c r="B573" s="15"/>
    </row>
    <row r="574" spans="1:2" x14ac:dyDescent="0.3">
      <c r="A574" s="15"/>
      <c r="B574" s="15"/>
    </row>
    <row r="575" spans="1:2" x14ac:dyDescent="0.3">
      <c r="A575" s="15"/>
      <c r="B575" s="15"/>
    </row>
    <row r="576" spans="1:2" x14ac:dyDescent="0.3">
      <c r="A576" s="15"/>
      <c r="B576" s="15"/>
    </row>
    <row r="577" spans="1:2" x14ac:dyDescent="0.3">
      <c r="A577" s="15"/>
      <c r="B577" s="15"/>
    </row>
    <row r="578" spans="1:2" x14ac:dyDescent="0.3">
      <c r="A578" s="15"/>
      <c r="B578" s="15"/>
    </row>
    <row r="579" spans="1:2" x14ac:dyDescent="0.3">
      <c r="A579" s="15"/>
      <c r="B579" s="15"/>
    </row>
    <row r="580" spans="1:2" x14ac:dyDescent="0.3">
      <c r="A580" s="15"/>
      <c r="B580" s="15"/>
    </row>
    <row r="581" spans="1:2" x14ac:dyDescent="0.3">
      <c r="A581" s="15"/>
      <c r="B581" s="15"/>
    </row>
    <row r="582" spans="1:2" x14ac:dyDescent="0.3">
      <c r="A582" s="15"/>
      <c r="B582" s="15"/>
    </row>
    <row r="583" spans="1:2" x14ac:dyDescent="0.3">
      <c r="A583" s="15"/>
      <c r="B583" s="15"/>
    </row>
    <row r="584" spans="1:2" x14ac:dyDescent="0.3">
      <c r="A584" s="15"/>
      <c r="B584" s="15"/>
    </row>
    <row r="585" spans="1:2" x14ac:dyDescent="0.3">
      <c r="A585" s="15"/>
      <c r="B585" s="15"/>
    </row>
    <row r="586" spans="1:2" x14ac:dyDescent="0.3">
      <c r="A586" s="15"/>
      <c r="B586" s="15"/>
    </row>
    <row r="587" spans="1:2" x14ac:dyDescent="0.3">
      <c r="A587" s="15"/>
      <c r="B587" s="15"/>
    </row>
    <row r="588" spans="1:2" x14ac:dyDescent="0.3">
      <c r="A588" s="15"/>
      <c r="B588" s="15"/>
    </row>
    <row r="589" spans="1:2" x14ac:dyDescent="0.3">
      <c r="A589" s="15"/>
      <c r="B589" s="15"/>
    </row>
    <row r="590" spans="1:2" x14ac:dyDescent="0.3">
      <c r="A590" s="15"/>
      <c r="B590" s="15"/>
    </row>
    <row r="591" spans="1:2" x14ac:dyDescent="0.3">
      <c r="A591" s="15"/>
      <c r="B591" s="15"/>
    </row>
    <row r="592" spans="1:2" x14ac:dyDescent="0.3">
      <c r="A592" s="15"/>
      <c r="B592" s="15"/>
    </row>
    <row r="593" spans="1:2" x14ac:dyDescent="0.3">
      <c r="A593" s="15"/>
      <c r="B593" s="15"/>
    </row>
    <row r="594" spans="1:2" x14ac:dyDescent="0.3">
      <c r="A594" s="15"/>
      <c r="B594" s="15"/>
    </row>
    <row r="595" spans="1:2" x14ac:dyDescent="0.3">
      <c r="A595" s="15"/>
      <c r="B595" s="15"/>
    </row>
    <row r="596" spans="1:2" x14ac:dyDescent="0.3">
      <c r="A596" s="15"/>
      <c r="B596" s="15"/>
    </row>
    <row r="597" spans="1:2" x14ac:dyDescent="0.3">
      <c r="A597" s="15"/>
      <c r="B597" s="15"/>
    </row>
    <row r="598" spans="1:2" x14ac:dyDescent="0.3">
      <c r="A598" s="15"/>
      <c r="B598" s="15"/>
    </row>
    <row r="599" spans="1:2" x14ac:dyDescent="0.3">
      <c r="A599" s="15"/>
      <c r="B599" s="15"/>
    </row>
    <row r="600" spans="1:2" x14ac:dyDescent="0.3">
      <c r="A600" s="15"/>
      <c r="B600" s="15"/>
    </row>
    <row r="601" spans="1:2" x14ac:dyDescent="0.3">
      <c r="A601" s="15"/>
      <c r="B601" s="15"/>
    </row>
    <row r="602" spans="1:2" x14ac:dyDescent="0.3">
      <c r="A602" s="15"/>
      <c r="B602" s="15"/>
    </row>
    <row r="603" spans="1:2" x14ac:dyDescent="0.3">
      <c r="A603" s="15"/>
      <c r="B603" s="15"/>
    </row>
    <row r="604" spans="1:2" x14ac:dyDescent="0.3">
      <c r="A604" s="15"/>
      <c r="B604" s="15"/>
    </row>
    <row r="605" spans="1:2" x14ac:dyDescent="0.3">
      <c r="A605" s="15"/>
      <c r="B605" s="15"/>
    </row>
    <row r="606" spans="1:2" x14ac:dyDescent="0.3">
      <c r="A606" s="15"/>
      <c r="B606" s="15"/>
    </row>
    <row r="607" spans="1:2" x14ac:dyDescent="0.3">
      <c r="A607" s="15"/>
      <c r="B607" s="15"/>
    </row>
    <row r="608" spans="1:2" x14ac:dyDescent="0.3">
      <c r="A608" s="15"/>
      <c r="B608" s="15"/>
    </row>
    <row r="609" spans="1:2" x14ac:dyDescent="0.3">
      <c r="A609" s="15"/>
      <c r="B609" s="15"/>
    </row>
    <row r="610" spans="1:2" x14ac:dyDescent="0.3">
      <c r="A610" s="15"/>
      <c r="B610" s="15"/>
    </row>
    <row r="611" spans="1:2" x14ac:dyDescent="0.3">
      <c r="A611" s="15"/>
      <c r="B611" s="15"/>
    </row>
    <row r="612" spans="1:2" x14ac:dyDescent="0.3">
      <c r="A612" s="15"/>
      <c r="B612" s="15"/>
    </row>
    <row r="613" spans="1:2" x14ac:dyDescent="0.3">
      <c r="A613" s="15"/>
      <c r="B613" s="15"/>
    </row>
    <row r="614" spans="1:2" x14ac:dyDescent="0.3">
      <c r="A614" s="15"/>
      <c r="B614" s="15"/>
    </row>
    <row r="615" spans="1:2" x14ac:dyDescent="0.3">
      <c r="A615" s="15"/>
      <c r="B615" s="15"/>
    </row>
    <row r="616" spans="1:2" x14ac:dyDescent="0.3">
      <c r="A616" s="15"/>
      <c r="B616" s="15"/>
    </row>
    <row r="617" spans="1:2" x14ac:dyDescent="0.3">
      <c r="A617" s="15"/>
      <c r="B617" s="15"/>
    </row>
    <row r="618" spans="1:2" x14ac:dyDescent="0.3">
      <c r="A618" s="15"/>
      <c r="B618" s="15"/>
    </row>
    <row r="619" spans="1:2" x14ac:dyDescent="0.3">
      <c r="A619" s="15"/>
      <c r="B619" s="15"/>
    </row>
    <row r="620" spans="1:2" x14ac:dyDescent="0.3">
      <c r="A620" s="15"/>
      <c r="B620" s="15"/>
    </row>
    <row r="621" spans="1:2" x14ac:dyDescent="0.3">
      <c r="A621" s="15"/>
      <c r="B621" s="15"/>
    </row>
    <row r="622" spans="1:2" x14ac:dyDescent="0.3">
      <c r="A622" s="15"/>
      <c r="B622" s="15"/>
    </row>
    <row r="623" spans="1:2" x14ac:dyDescent="0.3">
      <c r="A623" s="15"/>
      <c r="B623" s="15"/>
    </row>
    <row r="624" spans="1:2" x14ac:dyDescent="0.3">
      <c r="A624" s="15"/>
      <c r="B624" s="15"/>
    </row>
    <row r="625" spans="1:2" x14ac:dyDescent="0.3">
      <c r="A625" s="15"/>
      <c r="B625" s="15"/>
    </row>
    <row r="626" spans="1:2" x14ac:dyDescent="0.3">
      <c r="A626" s="15"/>
      <c r="B626" s="15"/>
    </row>
    <row r="627" spans="1:2" x14ac:dyDescent="0.3">
      <c r="A627" s="15"/>
      <c r="B627" s="15"/>
    </row>
    <row r="628" spans="1:2" x14ac:dyDescent="0.3">
      <c r="A628" s="15"/>
      <c r="B628" s="15"/>
    </row>
    <row r="629" spans="1:2" x14ac:dyDescent="0.3">
      <c r="A629" s="15"/>
      <c r="B629" s="15"/>
    </row>
    <row r="630" spans="1:2" x14ac:dyDescent="0.3">
      <c r="A630" s="15"/>
      <c r="B630" s="15"/>
    </row>
    <row r="631" spans="1:2" x14ac:dyDescent="0.3">
      <c r="A631" s="15"/>
      <c r="B631" s="15"/>
    </row>
    <row r="632" spans="1:2" x14ac:dyDescent="0.3">
      <c r="A632" s="15"/>
      <c r="B632" s="15"/>
    </row>
    <row r="633" spans="1:2" x14ac:dyDescent="0.3">
      <c r="A633" s="15"/>
      <c r="B633" s="15"/>
    </row>
    <row r="634" spans="1:2" x14ac:dyDescent="0.3">
      <c r="A634" s="15"/>
      <c r="B634" s="15"/>
    </row>
    <row r="635" spans="1:2" x14ac:dyDescent="0.3">
      <c r="A635" s="15"/>
      <c r="B635" s="15"/>
    </row>
    <row r="636" spans="1:2" x14ac:dyDescent="0.3">
      <c r="A636" s="15"/>
      <c r="B636" s="15"/>
    </row>
    <row r="637" spans="1:2" x14ac:dyDescent="0.3">
      <c r="A637" s="15"/>
      <c r="B637" s="15"/>
    </row>
    <row r="638" spans="1:2" x14ac:dyDescent="0.3">
      <c r="A638" s="15"/>
      <c r="B638" s="15"/>
    </row>
    <row r="639" spans="1:2" x14ac:dyDescent="0.3">
      <c r="A639" s="15"/>
      <c r="B639" s="15"/>
    </row>
    <row r="640" spans="1:2" x14ac:dyDescent="0.3">
      <c r="A640" s="15"/>
      <c r="B640" s="15"/>
    </row>
    <row r="641" spans="1:2" x14ac:dyDescent="0.3">
      <c r="A641" s="15"/>
      <c r="B641" s="15"/>
    </row>
    <row r="642" spans="1:2" x14ac:dyDescent="0.3">
      <c r="A642" s="15"/>
      <c r="B642" s="15"/>
    </row>
    <row r="643" spans="1:2" x14ac:dyDescent="0.3">
      <c r="A643" s="15"/>
      <c r="B643" s="15"/>
    </row>
    <row r="644" spans="1:2" x14ac:dyDescent="0.3">
      <c r="A644" s="15"/>
      <c r="B644" s="15"/>
    </row>
    <row r="645" spans="1:2" x14ac:dyDescent="0.3">
      <c r="A645" s="15"/>
      <c r="B645" s="15"/>
    </row>
    <row r="646" spans="1:2" x14ac:dyDescent="0.3">
      <c r="A646" s="15"/>
      <c r="B646" s="15"/>
    </row>
    <row r="647" spans="1:2" x14ac:dyDescent="0.3">
      <c r="A647" s="15"/>
      <c r="B647" s="15"/>
    </row>
    <row r="648" spans="1:2" x14ac:dyDescent="0.3">
      <c r="A648" s="15"/>
      <c r="B648" s="15"/>
    </row>
    <row r="649" spans="1:2" x14ac:dyDescent="0.3">
      <c r="A649" s="15"/>
      <c r="B649" s="15"/>
    </row>
    <row r="650" spans="1:2" x14ac:dyDescent="0.3">
      <c r="A650" s="15"/>
      <c r="B650" s="15"/>
    </row>
    <row r="651" spans="1:2" x14ac:dyDescent="0.3">
      <c r="A651" s="15"/>
      <c r="B651" s="15"/>
    </row>
    <row r="652" spans="1:2" x14ac:dyDescent="0.3">
      <c r="A652" s="15"/>
      <c r="B652" s="15"/>
    </row>
    <row r="653" spans="1:2" x14ac:dyDescent="0.3">
      <c r="A653" s="15"/>
      <c r="B653" s="15"/>
    </row>
    <row r="654" spans="1:2" x14ac:dyDescent="0.3">
      <c r="A654" s="15"/>
      <c r="B654" s="15"/>
    </row>
    <row r="655" spans="1:2" x14ac:dyDescent="0.3">
      <c r="A655" s="15"/>
      <c r="B655" s="15"/>
    </row>
    <row r="656" spans="1:2" x14ac:dyDescent="0.3">
      <c r="A656" s="15"/>
      <c r="B656" s="15"/>
    </row>
    <row r="657" spans="1:2" x14ac:dyDescent="0.3">
      <c r="A657" s="15"/>
      <c r="B657" s="15"/>
    </row>
    <row r="658" spans="1:2" x14ac:dyDescent="0.3">
      <c r="A658" s="15"/>
      <c r="B658" s="15"/>
    </row>
    <row r="659" spans="1:2" x14ac:dyDescent="0.3">
      <c r="A659" s="15"/>
      <c r="B659" s="15"/>
    </row>
    <row r="660" spans="1:2" x14ac:dyDescent="0.3">
      <c r="A660" s="15"/>
      <c r="B660" s="15"/>
    </row>
    <row r="661" spans="1:2" x14ac:dyDescent="0.3">
      <c r="A661" s="15"/>
      <c r="B661" s="15"/>
    </row>
    <row r="662" spans="1:2" x14ac:dyDescent="0.3">
      <c r="A662" s="15"/>
      <c r="B662" s="15"/>
    </row>
    <row r="663" spans="1:2" x14ac:dyDescent="0.3">
      <c r="A663" s="15"/>
      <c r="B663" s="15"/>
    </row>
    <row r="664" spans="1:2" x14ac:dyDescent="0.3">
      <c r="A664" s="15"/>
      <c r="B664" s="15"/>
    </row>
    <row r="665" spans="1:2" x14ac:dyDescent="0.3">
      <c r="A665" s="15"/>
      <c r="B665" s="15"/>
    </row>
    <row r="666" spans="1:2" x14ac:dyDescent="0.3">
      <c r="A666" s="15"/>
      <c r="B666" s="15"/>
    </row>
    <row r="667" spans="1:2" x14ac:dyDescent="0.3">
      <c r="A667" s="15"/>
      <c r="B667" s="15"/>
    </row>
    <row r="668" spans="1:2" x14ac:dyDescent="0.3">
      <c r="A668" s="15"/>
      <c r="B668" s="15"/>
    </row>
    <row r="669" spans="1:2" x14ac:dyDescent="0.3">
      <c r="A669" s="15"/>
      <c r="B669" s="15"/>
    </row>
    <row r="670" spans="1:2" x14ac:dyDescent="0.3">
      <c r="A670" s="15"/>
      <c r="B670" s="15"/>
    </row>
    <row r="671" spans="1:2" x14ac:dyDescent="0.3">
      <c r="A671" s="15"/>
      <c r="B671" s="15"/>
    </row>
    <row r="672" spans="1:2" x14ac:dyDescent="0.3">
      <c r="A672" s="15"/>
      <c r="B672" s="15"/>
    </row>
    <row r="673" spans="1:2" x14ac:dyDescent="0.3">
      <c r="A673" s="15"/>
      <c r="B673" s="15"/>
    </row>
    <row r="674" spans="1:2" x14ac:dyDescent="0.3">
      <c r="A674" s="15"/>
      <c r="B674" s="15"/>
    </row>
    <row r="675" spans="1:2" x14ac:dyDescent="0.3">
      <c r="A675" s="15"/>
      <c r="B675" s="15"/>
    </row>
    <row r="676" spans="1:2" x14ac:dyDescent="0.3">
      <c r="A676" s="15"/>
      <c r="B676" s="15"/>
    </row>
    <row r="677" spans="1:2" x14ac:dyDescent="0.3">
      <c r="A677" s="15"/>
      <c r="B677" s="15"/>
    </row>
    <row r="678" spans="1:2" x14ac:dyDescent="0.3">
      <c r="A678" s="15"/>
      <c r="B678" s="15"/>
    </row>
    <row r="679" spans="1:2" x14ac:dyDescent="0.3">
      <c r="A679" s="15"/>
      <c r="B679" s="15"/>
    </row>
    <row r="680" spans="1:2" x14ac:dyDescent="0.3">
      <c r="A680" s="15"/>
      <c r="B680" s="15"/>
    </row>
    <row r="681" spans="1:2" x14ac:dyDescent="0.3">
      <c r="A681" s="15"/>
      <c r="B681" s="15"/>
    </row>
    <row r="682" spans="1:2" x14ac:dyDescent="0.3">
      <c r="A682" s="15"/>
      <c r="B682" s="15"/>
    </row>
    <row r="683" spans="1:2" x14ac:dyDescent="0.3">
      <c r="A683" s="15"/>
      <c r="B683" s="15"/>
    </row>
    <row r="684" spans="1:2" x14ac:dyDescent="0.3">
      <c r="A684" s="15"/>
      <c r="B684" s="15"/>
    </row>
    <row r="685" spans="1:2" x14ac:dyDescent="0.3">
      <c r="A685" s="15"/>
      <c r="B685" s="15"/>
    </row>
    <row r="686" spans="1:2" x14ac:dyDescent="0.3">
      <c r="A686" s="15"/>
      <c r="B686" s="15"/>
    </row>
    <row r="687" spans="1:2" x14ac:dyDescent="0.3">
      <c r="A687" s="15"/>
      <c r="B687" s="15"/>
    </row>
    <row r="688" spans="1:2" x14ac:dyDescent="0.3">
      <c r="A688" s="15"/>
      <c r="B688" s="15"/>
    </row>
    <row r="689" spans="1:2" x14ac:dyDescent="0.3">
      <c r="A689" s="15"/>
      <c r="B689" s="15"/>
    </row>
    <row r="690" spans="1:2" x14ac:dyDescent="0.3">
      <c r="A690" s="15"/>
      <c r="B690" s="15"/>
    </row>
    <row r="691" spans="1:2" x14ac:dyDescent="0.3">
      <c r="A691" s="15"/>
      <c r="B691" s="15"/>
    </row>
    <row r="692" spans="1:2" x14ac:dyDescent="0.3">
      <c r="A692" s="15"/>
      <c r="B692" s="15"/>
    </row>
    <row r="693" spans="1:2" x14ac:dyDescent="0.3">
      <c r="A693" s="15"/>
      <c r="B693" s="15"/>
    </row>
    <row r="694" spans="1:2" x14ac:dyDescent="0.3">
      <c r="A694" s="15"/>
      <c r="B694" s="15"/>
    </row>
    <row r="695" spans="1:2" x14ac:dyDescent="0.3">
      <c r="A695" s="15"/>
      <c r="B695" s="15"/>
    </row>
    <row r="696" spans="1:2" x14ac:dyDescent="0.3">
      <c r="A696" s="15"/>
      <c r="B696" s="15"/>
    </row>
    <row r="697" spans="1:2" x14ac:dyDescent="0.3">
      <c r="A697" s="15"/>
      <c r="B697" s="15"/>
    </row>
    <row r="698" spans="1:2" x14ac:dyDescent="0.3">
      <c r="A698" s="15"/>
      <c r="B698" s="15"/>
    </row>
    <row r="699" spans="1:2" x14ac:dyDescent="0.3">
      <c r="A699" s="15"/>
      <c r="B699" s="15"/>
    </row>
    <row r="700" spans="1:2" x14ac:dyDescent="0.3">
      <c r="A700" s="15"/>
      <c r="B700" s="15"/>
    </row>
    <row r="701" spans="1:2" x14ac:dyDescent="0.3">
      <c r="A701" s="15"/>
      <c r="B701" s="15"/>
    </row>
    <row r="702" spans="1:2" x14ac:dyDescent="0.3">
      <c r="A702" s="15"/>
      <c r="B702" s="15"/>
    </row>
    <row r="703" spans="1:2" x14ac:dyDescent="0.3">
      <c r="A703" s="15"/>
      <c r="B703" s="15"/>
    </row>
    <row r="704" spans="1:2" x14ac:dyDescent="0.3">
      <c r="A704" s="15"/>
      <c r="B704" s="15"/>
    </row>
    <row r="705" spans="1:2" x14ac:dyDescent="0.3">
      <c r="A705" s="15"/>
      <c r="B705" s="15"/>
    </row>
    <row r="706" spans="1:2" x14ac:dyDescent="0.3">
      <c r="A706" s="15"/>
      <c r="B706" s="15"/>
    </row>
    <row r="707" spans="1:2" x14ac:dyDescent="0.3">
      <c r="A707" s="15"/>
      <c r="B707" s="15"/>
    </row>
    <row r="708" spans="1:2" x14ac:dyDescent="0.3">
      <c r="A708" s="15"/>
      <c r="B708" s="15"/>
    </row>
    <row r="709" spans="1:2" x14ac:dyDescent="0.3">
      <c r="A709" s="15"/>
      <c r="B709" s="15"/>
    </row>
    <row r="710" spans="1:2" x14ac:dyDescent="0.3">
      <c r="A710" s="15"/>
      <c r="B710" s="15"/>
    </row>
    <row r="711" spans="1:2" x14ac:dyDescent="0.3">
      <c r="A711" s="15"/>
      <c r="B711" s="15"/>
    </row>
    <row r="712" spans="1:2" x14ac:dyDescent="0.3">
      <c r="A712" s="15"/>
      <c r="B712" s="15"/>
    </row>
    <row r="713" spans="1:2" x14ac:dyDescent="0.3">
      <c r="A713" s="15"/>
      <c r="B713" s="15"/>
    </row>
    <row r="714" spans="1:2" x14ac:dyDescent="0.3">
      <c r="A714" s="15"/>
      <c r="B714" s="15"/>
    </row>
    <row r="715" spans="1:2" x14ac:dyDescent="0.3">
      <c r="A715" s="15"/>
      <c r="B715" s="15"/>
    </row>
    <row r="716" spans="1:2" x14ac:dyDescent="0.3">
      <c r="A716" s="15"/>
      <c r="B716" s="15"/>
    </row>
    <row r="717" spans="1:2" x14ac:dyDescent="0.3">
      <c r="A717" s="15"/>
      <c r="B717" s="15"/>
    </row>
    <row r="718" spans="1:2" x14ac:dyDescent="0.3">
      <c r="A718" s="15"/>
      <c r="B718" s="15"/>
    </row>
    <row r="719" spans="1:2" x14ac:dyDescent="0.3">
      <c r="A719" s="15"/>
      <c r="B719" s="15"/>
    </row>
    <row r="720" spans="1:2" x14ac:dyDescent="0.3">
      <c r="A720" s="15"/>
      <c r="B720" s="15"/>
    </row>
    <row r="721" spans="1:2" x14ac:dyDescent="0.3">
      <c r="A721" s="15"/>
      <c r="B721" s="15"/>
    </row>
    <row r="722" spans="1:2" x14ac:dyDescent="0.3">
      <c r="A722" s="15"/>
      <c r="B722" s="15"/>
    </row>
    <row r="723" spans="1:2" x14ac:dyDescent="0.3">
      <c r="A723" s="15"/>
      <c r="B723" s="15"/>
    </row>
    <row r="724" spans="1:2" x14ac:dyDescent="0.3">
      <c r="A724" s="15"/>
      <c r="B724" s="15"/>
    </row>
    <row r="725" spans="1:2" x14ac:dyDescent="0.3">
      <c r="A725" s="15"/>
      <c r="B725" s="15"/>
    </row>
    <row r="726" spans="1:2" x14ac:dyDescent="0.3">
      <c r="A726" s="15"/>
      <c r="B726" s="15"/>
    </row>
    <row r="727" spans="1:2" x14ac:dyDescent="0.3">
      <c r="A727" s="15"/>
      <c r="B727" s="15"/>
    </row>
    <row r="728" spans="1:2" x14ac:dyDescent="0.3">
      <c r="A728" s="15"/>
      <c r="B728" s="15"/>
    </row>
    <row r="729" spans="1:2" x14ac:dyDescent="0.3">
      <c r="A729" s="15"/>
      <c r="B729" s="15"/>
    </row>
    <row r="730" spans="1:2" x14ac:dyDescent="0.3">
      <c r="A730" s="15"/>
      <c r="B730" s="15"/>
    </row>
    <row r="731" spans="1:2" x14ac:dyDescent="0.3">
      <c r="A731" s="15"/>
      <c r="B731" s="15"/>
    </row>
    <row r="732" spans="1:2" x14ac:dyDescent="0.3">
      <c r="A732" s="15"/>
      <c r="B732" s="15"/>
    </row>
    <row r="733" spans="1:2" x14ac:dyDescent="0.3">
      <c r="A733" s="15"/>
      <c r="B733" s="15"/>
    </row>
    <row r="734" spans="1:2" x14ac:dyDescent="0.3">
      <c r="A734" s="15"/>
      <c r="B734" s="15"/>
    </row>
    <row r="735" spans="1:2" x14ac:dyDescent="0.3">
      <c r="A735" s="15"/>
      <c r="B735" s="15"/>
    </row>
    <row r="736" spans="1:2" x14ac:dyDescent="0.3">
      <c r="A736" s="15"/>
      <c r="B736" s="15"/>
    </row>
    <row r="737" spans="1:2" x14ac:dyDescent="0.3">
      <c r="A737" s="15"/>
      <c r="B737" s="15"/>
    </row>
    <row r="738" spans="1:2" x14ac:dyDescent="0.3">
      <c r="A738" s="15"/>
      <c r="B738" s="15"/>
    </row>
    <row r="739" spans="1:2" x14ac:dyDescent="0.3">
      <c r="A739" s="15"/>
      <c r="B739" s="15"/>
    </row>
    <row r="740" spans="1:2" x14ac:dyDescent="0.3">
      <c r="A740" s="15"/>
      <c r="B740" s="15"/>
    </row>
    <row r="741" spans="1:2" x14ac:dyDescent="0.3">
      <c r="A741" s="15"/>
      <c r="B741" s="15"/>
    </row>
    <row r="742" spans="1:2" x14ac:dyDescent="0.3">
      <c r="A742" s="15"/>
      <c r="B742" s="15"/>
    </row>
    <row r="743" spans="1:2" x14ac:dyDescent="0.3">
      <c r="A743" s="15"/>
      <c r="B743" s="15"/>
    </row>
    <row r="744" spans="1:2" x14ac:dyDescent="0.3">
      <c r="A744" s="15"/>
      <c r="B744" s="15"/>
    </row>
    <row r="745" spans="1:2" x14ac:dyDescent="0.3">
      <c r="A745" s="15"/>
      <c r="B745" s="15"/>
    </row>
    <row r="746" spans="1:2" x14ac:dyDescent="0.3">
      <c r="A746" s="15"/>
      <c r="B746" s="15"/>
    </row>
    <row r="747" spans="1:2" x14ac:dyDescent="0.3">
      <c r="A747" s="15"/>
      <c r="B747" s="15"/>
    </row>
    <row r="748" spans="1:2" x14ac:dyDescent="0.3">
      <c r="A748" s="15"/>
      <c r="B748" s="15"/>
    </row>
    <row r="749" spans="1:2" x14ac:dyDescent="0.3">
      <c r="A749" s="15"/>
      <c r="B749" s="15"/>
    </row>
    <row r="750" spans="1:2" x14ac:dyDescent="0.3">
      <c r="A750" s="15"/>
      <c r="B750" s="15"/>
    </row>
    <row r="751" spans="1:2" x14ac:dyDescent="0.3">
      <c r="A751" s="15"/>
      <c r="B751" s="15"/>
    </row>
    <row r="752" spans="1:2" x14ac:dyDescent="0.3">
      <c r="A752" s="15"/>
      <c r="B752" s="15"/>
    </row>
    <row r="753" spans="1:2" x14ac:dyDescent="0.3">
      <c r="A753" s="15"/>
      <c r="B753" s="15"/>
    </row>
    <row r="754" spans="1:2" x14ac:dyDescent="0.3">
      <c r="A754" s="15"/>
      <c r="B754" s="15"/>
    </row>
    <row r="755" spans="1:2" x14ac:dyDescent="0.3">
      <c r="A755" s="15"/>
      <c r="B755" s="15"/>
    </row>
    <row r="756" spans="1:2" x14ac:dyDescent="0.3">
      <c r="A756" s="15"/>
      <c r="B756" s="15"/>
    </row>
    <row r="757" spans="1:2" x14ac:dyDescent="0.3">
      <c r="A757" s="15"/>
      <c r="B757" s="15"/>
    </row>
    <row r="758" spans="1:2" x14ac:dyDescent="0.3">
      <c r="A758" s="15"/>
      <c r="B758" s="15"/>
    </row>
    <row r="759" spans="1:2" x14ac:dyDescent="0.3">
      <c r="A759" s="15"/>
      <c r="B759" s="15"/>
    </row>
    <row r="760" spans="1:2" x14ac:dyDescent="0.3">
      <c r="A760" s="15"/>
      <c r="B760" s="15"/>
    </row>
    <row r="761" spans="1:2" x14ac:dyDescent="0.3">
      <c r="A761" s="15"/>
      <c r="B761" s="15"/>
    </row>
    <row r="762" spans="1:2" x14ac:dyDescent="0.3">
      <c r="A762" s="15"/>
      <c r="B762" s="15"/>
    </row>
    <row r="763" spans="1:2" x14ac:dyDescent="0.3">
      <c r="A763" s="15"/>
      <c r="B763" s="15"/>
    </row>
    <row r="764" spans="1:2" x14ac:dyDescent="0.3">
      <c r="A764" s="15"/>
      <c r="B764" s="15"/>
    </row>
    <row r="765" spans="1:2" x14ac:dyDescent="0.3">
      <c r="A765" s="15"/>
      <c r="B765" s="15"/>
    </row>
    <row r="766" spans="1:2" x14ac:dyDescent="0.3">
      <c r="A766" s="15"/>
      <c r="B766" s="15"/>
    </row>
    <row r="767" spans="1:2" x14ac:dyDescent="0.3">
      <c r="A767" s="15"/>
      <c r="B767" s="15"/>
    </row>
    <row r="768" spans="1:2" x14ac:dyDescent="0.3">
      <c r="A768" s="15"/>
      <c r="B768" s="15"/>
    </row>
    <row r="769" spans="1:2" x14ac:dyDescent="0.3">
      <c r="A769" s="15"/>
      <c r="B769" s="15"/>
    </row>
    <row r="770" spans="1:2" x14ac:dyDescent="0.3">
      <c r="A770" s="15"/>
      <c r="B770" s="15"/>
    </row>
    <row r="771" spans="1:2" x14ac:dyDescent="0.3">
      <c r="A771" s="15"/>
      <c r="B771" s="15"/>
    </row>
    <row r="772" spans="1:2" x14ac:dyDescent="0.3">
      <c r="A772" s="15"/>
      <c r="B772" s="15"/>
    </row>
    <row r="773" spans="1:2" x14ac:dyDescent="0.3">
      <c r="A773" s="15"/>
      <c r="B773" s="15"/>
    </row>
    <row r="774" spans="1:2" x14ac:dyDescent="0.3">
      <c r="A774" s="15"/>
      <c r="B774" s="15"/>
    </row>
    <row r="775" spans="1:2" x14ac:dyDescent="0.3">
      <c r="A775" s="15"/>
      <c r="B775" s="15"/>
    </row>
    <row r="776" spans="1:2" x14ac:dyDescent="0.3">
      <c r="A776" s="15"/>
      <c r="B776" s="15"/>
    </row>
    <row r="777" spans="1:2" x14ac:dyDescent="0.3">
      <c r="A777" s="15"/>
      <c r="B777" s="15"/>
    </row>
    <row r="778" spans="1:2" x14ac:dyDescent="0.3">
      <c r="A778" s="15"/>
      <c r="B778" s="15"/>
    </row>
    <row r="779" spans="1:2" x14ac:dyDescent="0.3">
      <c r="A779" s="15"/>
      <c r="B779" s="15"/>
    </row>
    <row r="780" spans="1:2" x14ac:dyDescent="0.3">
      <c r="A780" s="15"/>
      <c r="B780" s="15"/>
    </row>
    <row r="781" spans="1:2" x14ac:dyDescent="0.3">
      <c r="A781" s="15"/>
      <c r="B781" s="15"/>
    </row>
    <row r="782" spans="1:2" x14ac:dyDescent="0.3">
      <c r="A782" s="15"/>
      <c r="B782" s="15"/>
    </row>
    <row r="783" spans="1:2" x14ac:dyDescent="0.3">
      <c r="A783" s="15"/>
      <c r="B783" s="15"/>
    </row>
    <row r="784" spans="1:2" x14ac:dyDescent="0.3">
      <c r="A784" s="15"/>
      <c r="B784" s="15"/>
    </row>
    <row r="785" spans="1:2" x14ac:dyDescent="0.3">
      <c r="A785" s="15"/>
      <c r="B785" s="15"/>
    </row>
    <row r="786" spans="1:2" x14ac:dyDescent="0.3">
      <c r="A786" s="15"/>
      <c r="B786" s="15"/>
    </row>
    <row r="787" spans="1:2" x14ac:dyDescent="0.3">
      <c r="A787" s="15"/>
      <c r="B787" s="15"/>
    </row>
    <row r="788" spans="1:2" x14ac:dyDescent="0.3">
      <c r="A788" s="15"/>
      <c r="B788" s="15"/>
    </row>
    <row r="789" spans="1:2" x14ac:dyDescent="0.3">
      <c r="A789" s="15"/>
      <c r="B789" s="15"/>
    </row>
    <row r="790" spans="1:2" x14ac:dyDescent="0.3">
      <c r="A790" s="15"/>
      <c r="B790" s="15"/>
    </row>
    <row r="791" spans="1:2" x14ac:dyDescent="0.3">
      <c r="A791" s="15"/>
      <c r="B791" s="15"/>
    </row>
    <row r="792" spans="1:2" x14ac:dyDescent="0.3">
      <c r="A792" s="15"/>
      <c r="B792" s="15"/>
    </row>
    <row r="793" spans="1:2" x14ac:dyDescent="0.3">
      <c r="A793" s="15"/>
      <c r="B793" s="15"/>
    </row>
    <row r="794" spans="1:2" x14ac:dyDescent="0.3">
      <c r="A794" s="15"/>
      <c r="B794" s="15"/>
    </row>
    <row r="795" spans="1:2" x14ac:dyDescent="0.3">
      <c r="A795" s="15"/>
      <c r="B795" s="15"/>
    </row>
    <row r="796" spans="1:2" x14ac:dyDescent="0.3">
      <c r="A796" s="15"/>
      <c r="B796" s="15"/>
    </row>
    <row r="797" spans="1:2" x14ac:dyDescent="0.3">
      <c r="A797" s="15"/>
      <c r="B797" s="15"/>
    </row>
    <row r="798" spans="1:2" x14ac:dyDescent="0.3">
      <c r="A798" s="15"/>
      <c r="B798" s="15"/>
    </row>
    <row r="799" spans="1:2" x14ac:dyDescent="0.3">
      <c r="A799" s="15"/>
      <c r="B799" s="15"/>
    </row>
    <row r="800" spans="1:2" x14ac:dyDescent="0.3">
      <c r="A800" s="15"/>
      <c r="B800" s="15"/>
    </row>
    <row r="801" spans="1:2" x14ac:dyDescent="0.3">
      <c r="A801" s="15"/>
      <c r="B801" s="15"/>
    </row>
    <row r="802" spans="1:2" x14ac:dyDescent="0.3">
      <c r="A802" s="15"/>
      <c r="B802" s="15"/>
    </row>
    <row r="803" spans="1:2" x14ac:dyDescent="0.3">
      <c r="A803" s="15"/>
      <c r="B803" s="15"/>
    </row>
    <row r="804" spans="1:2" x14ac:dyDescent="0.3">
      <c r="A804" s="15"/>
      <c r="B804" s="15"/>
    </row>
    <row r="805" spans="1:2" x14ac:dyDescent="0.3">
      <c r="A805" s="15"/>
      <c r="B805" s="15"/>
    </row>
    <row r="806" spans="1:2" x14ac:dyDescent="0.3">
      <c r="A806" s="15"/>
      <c r="B806" s="15"/>
    </row>
    <row r="807" spans="1:2" x14ac:dyDescent="0.3">
      <c r="A807" s="15"/>
      <c r="B807" s="15"/>
    </row>
    <row r="808" spans="1:2" x14ac:dyDescent="0.3">
      <c r="A808" s="15"/>
      <c r="B808" s="15"/>
    </row>
    <row r="809" spans="1:2" x14ac:dyDescent="0.3">
      <c r="A809" s="15"/>
      <c r="B809" s="15"/>
    </row>
    <row r="810" spans="1:2" x14ac:dyDescent="0.3">
      <c r="A810" s="15"/>
      <c r="B810" s="15"/>
    </row>
    <row r="811" spans="1:2" x14ac:dyDescent="0.3">
      <c r="A811" s="15"/>
      <c r="B811" s="15"/>
    </row>
    <row r="812" spans="1:2" x14ac:dyDescent="0.3">
      <c r="A812" s="15"/>
      <c r="B812" s="15"/>
    </row>
    <row r="813" spans="1:2" x14ac:dyDescent="0.3">
      <c r="A813" s="15"/>
      <c r="B813" s="15"/>
    </row>
    <row r="814" spans="1:2" x14ac:dyDescent="0.3">
      <c r="A814" s="15"/>
      <c r="B814" s="15"/>
    </row>
    <row r="815" spans="1:2" x14ac:dyDescent="0.3">
      <c r="A815" s="15"/>
      <c r="B815" s="15"/>
    </row>
    <row r="816" spans="1:2" x14ac:dyDescent="0.3">
      <c r="A816" s="15"/>
      <c r="B816" s="15"/>
    </row>
    <row r="817" spans="1:2" x14ac:dyDescent="0.3">
      <c r="A817" s="15"/>
      <c r="B817" s="15"/>
    </row>
    <row r="818" spans="1:2" x14ac:dyDescent="0.3">
      <c r="A818" s="15"/>
      <c r="B818" s="15"/>
    </row>
    <row r="819" spans="1:2" x14ac:dyDescent="0.3">
      <c r="A819" s="15"/>
      <c r="B819" s="15"/>
    </row>
    <row r="820" spans="1:2" x14ac:dyDescent="0.3">
      <c r="A820" s="15"/>
      <c r="B820" s="15"/>
    </row>
    <row r="821" spans="1:2" x14ac:dyDescent="0.3">
      <c r="A821" s="15"/>
      <c r="B821" s="15"/>
    </row>
    <row r="822" spans="1:2" x14ac:dyDescent="0.3">
      <c r="A822" s="15"/>
      <c r="B822" s="15"/>
    </row>
    <row r="823" spans="1:2" x14ac:dyDescent="0.3">
      <c r="A823" s="15"/>
      <c r="B823" s="15"/>
    </row>
    <row r="824" spans="1:2" x14ac:dyDescent="0.3">
      <c r="A824" s="15"/>
      <c r="B824" s="15"/>
    </row>
    <row r="825" spans="1:2" x14ac:dyDescent="0.3">
      <c r="A825" s="15"/>
      <c r="B825" s="15"/>
    </row>
    <row r="826" spans="1:2" x14ac:dyDescent="0.3">
      <c r="A826" s="15"/>
      <c r="B826" s="15"/>
    </row>
    <row r="827" spans="1:2" x14ac:dyDescent="0.3">
      <c r="A827" s="15"/>
      <c r="B827" s="15"/>
    </row>
    <row r="828" spans="1:2" x14ac:dyDescent="0.3">
      <c r="A828" s="15"/>
      <c r="B828" s="15"/>
    </row>
    <row r="829" spans="1:2" x14ac:dyDescent="0.3">
      <c r="A829" s="15"/>
      <c r="B829" s="15"/>
    </row>
    <row r="830" spans="1:2" x14ac:dyDescent="0.3">
      <c r="A830" s="15"/>
      <c r="B830" s="15"/>
    </row>
    <row r="831" spans="1:2" x14ac:dyDescent="0.3">
      <c r="A831" s="15"/>
      <c r="B831" s="15"/>
    </row>
    <row r="832" spans="1:2" x14ac:dyDescent="0.3">
      <c r="A832" s="15"/>
      <c r="B832" s="15"/>
    </row>
    <row r="833" spans="1:2" x14ac:dyDescent="0.3">
      <c r="A833" s="15"/>
      <c r="B833" s="15"/>
    </row>
    <row r="834" spans="1:2" x14ac:dyDescent="0.3">
      <c r="A834" s="15"/>
      <c r="B834" s="15"/>
    </row>
    <row r="835" spans="1:2" x14ac:dyDescent="0.3">
      <c r="A835" s="15"/>
      <c r="B835" s="15"/>
    </row>
    <row r="836" spans="1:2" x14ac:dyDescent="0.3">
      <c r="A836" s="15"/>
      <c r="B836" s="15"/>
    </row>
    <row r="837" spans="1:2" x14ac:dyDescent="0.3">
      <c r="A837" s="15"/>
      <c r="B837" s="15"/>
    </row>
    <row r="838" spans="1:2" x14ac:dyDescent="0.3">
      <c r="A838" s="15"/>
      <c r="B838" s="15"/>
    </row>
    <row r="839" spans="1:2" x14ac:dyDescent="0.3">
      <c r="A839" s="15"/>
      <c r="B839" s="15"/>
    </row>
    <row r="840" spans="1:2" x14ac:dyDescent="0.3">
      <c r="A840" s="15"/>
      <c r="B840" s="15"/>
    </row>
    <row r="841" spans="1:2" x14ac:dyDescent="0.3">
      <c r="A841" s="15"/>
      <c r="B841" s="15"/>
    </row>
    <row r="842" spans="1:2" x14ac:dyDescent="0.3">
      <c r="A842" s="15"/>
      <c r="B842" s="15"/>
    </row>
    <row r="843" spans="1:2" x14ac:dyDescent="0.3">
      <c r="A843" s="15"/>
      <c r="B843" s="15"/>
    </row>
    <row r="844" spans="1:2" x14ac:dyDescent="0.3">
      <c r="A844" s="15"/>
      <c r="B844" s="15"/>
    </row>
    <row r="845" spans="1:2" x14ac:dyDescent="0.3">
      <c r="A845" s="15"/>
      <c r="B845" s="15"/>
    </row>
    <row r="846" spans="1:2" x14ac:dyDescent="0.3">
      <c r="A846" s="15"/>
      <c r="B846" s="15"/>
    </row>
    <row r="847" spans="1:2" x14ac:dyDescent="0.3">
      <c r="A847" s="15"/>
      <c r="B847" s="15"/>
    </row>
    <row r="848" spans="1:2" x14ac:dyDescent="0.3">
      <c r="A848" s="15"/>
      <c r="B848" s="15"/>
    </row>
    <row r="849" spans="1:2" x14ac:dyDescent="0.3">
      <c r="A849" s="15"/>
      <c r="B849" s="15"/>
    </row>
    <row r="850" spans="1:2" x14ac:dyDescent="0.3">
      <c r="A850" s="15"/>
      <c r="B850" s="15"/>
    </row>
    <row r="851" spans="1:2" x14ac:dyDescent="0.3">
      <c r="A851" s="15"/>
      <c r="B851" s="15"/>
    </row>
    <row r="852" spans="1:2" x14ac:dyDescent="0.3">
      <c r="A852" s="15"/>
      <c r="B852" s="15"/>
    </row>
    <row r="853" spans="1:2" x14ac:dyDescent="0.3">
      <c r="A853" s="15"/>
      <c r="B853" s="15"/>
    </row>
    <row r="854" spans="1:2" x14ac:dyDescent="0.3">
      <c r="A854" s="15"/>
      <c r="B854" s="15"/>
    </row>
    <row r="855" spans="1:2" x14ac:dyDescent="0.3">
      <c r="A855" s="15"/>
      <c r="B855" s="15"/>
    </row>
    <row r="856" spans="1:2" x14ac:dyDescent="0.3">
      <c r="A856" s="15"/>
      <c r="B856" s="15"/>
    </row>
    <row r="857" spans="1:2" x14ac:dyDescent="0.3">
      <c r="A857" s="15"/>
      <c r="B857" s="15"/>
    </row>
    <row r="858" spans="1:2" x14ac:dyDescent="0.3">
      <c r="A858" s="15"/>
      <c r="B858" s="15"/>
    </row>
    <row r="859" spans="1:2" x14ac:dyDescent="0.3">
      <c r="A859" s="15"/>
      <c r="B859" s="15"/>
    </row>
    <row r="860" spans="1:2" x14ac:dyDescent="0.3">
      <c r="A860" s="15"/>
      <c r="B860" s="15"/>
    </row>
    <row r="861" spans="1:2" x14ac:dyDescent="0.3">
      <c r="A861" s="15"/>
      <c r="B861" s="15"/>
    </row>
    <row r="862" spans="1:2" x14ac:dyDescent="0.3">
      <c r="A862" s="15"/>
      <c r="B862" s="15"/>
    </row>
    <row r="863" spans="1:2" x14ac:dyDescent="0.3">
      <c r="A863" s="15"/>
      <c r="B863" s="15"/>
    </row>
    <row r="864" spans="1:2" x14ac:dyDescent="0.3">
      <c r="A864" s="15"/>
      <c r="B864" s="15"/>
    </row>
    <row r="865" spans="1:2" x14ac:dyDescent="0.3">
      <c r="A865" s="15"/>
      <c r="B865" s="15"/>
    </row>
    <row r="866" spans="1:2" x14ac:dyDescent="0.3">
      <c r="A866" s="15"/>
      <c r="B866" s="15"/>
    </row>
    <row r="867" spans="1:2" x14ac:dyDescent="0.3">
      <c r="A867" s="15"/>
      <c r="B867" s="15"/>
    </row>
    <row r="868" spans="1:2" x14ac:dyDescent="0.3">
      <c r="A868" s="15"/>
      <c r="B868" s="15"/>
    </row>
    <row r="869" spans="1:2" x14ac:dyDescent="0.3">
      <c r="A869" s="15"/>
      <c r="B869" s="15"/>
    </row>
    <row r="870" spans="1:2" x14ac:dyDescent="0.3">
      <c r="A870" s="15"/>
      <c r="B870" s="15"/>
    </row>
    <row r="871" spans="1:2" x14ac:dyDescent="0.3">
      <c r="A871" s="15"/>
      <c r="B871" s="15"/>
    </row>
    <row r="872" spans="1:2" x14ac:dyDescent="0.3">
      <c r="A872" s="15"/>
      <c r="B872" s="15"/>
    </row>
    <row r="873" spans="1:2" x14ac:dyDescent="0.3">
      <c r="A873" s="15"/>
      <c r="B873" s="15"/>
    </row>
    <row r="874" spans="1:2" x14ac:dyDescent="0.3">
      <c r="A874" s="15"/>
      <c r="B874" s="15"/>
    </row>
    <row r="875" spans="1:2" x14ac:dyDescent="0.3">
      <c r="A875" s="15"/>
      <c r="B875" s="15"/>
    </row>
    <row r="876" spans="1:2" x14ac:dyDescent="0.3">
      <c r="A876" s="15"/>
      <c r="B876" s="15"/>
    </row>
    <row r="877" spans="1:2" x14ac:dyDescent="0.3">
      <c r="A877" s="15"/>
      <c r="B877" s="15"/>
    </row>
    <row r="878" spans="1:2" x14ac:dyDescent="0.3">
      <c r="A878" s="15"/>
      <c r="B878" s="15"/>
    </row>
    <row r="879" spans="1:2" x14ac:dyDescent="0.3">
      <c r="A879" s="15"/>
      <c r="B879" s="15"/>
    </row>
    <row r="880" spans="1:2" x14ac:dyDescent="0.3">
      <c r="A880" s="15"/>
      <c r="B880" s="15"/>
    </row>
    <row r="881" spans="1:2" x14ac:dyDescent="0.3">
      <c r="A881" s="15"/>
      <c r="B881" s="15"/>
    </row>
    <row r="882" spans="1:2" x14ac:dyDescent="0.3">
      <c r="A882" s="15"/>
      <c r="B882" s="15"/>
    </row>
    <row r="883" spans="1:2" x14ac:dyDescent="0.3">
      <c r="A883" s="15"/>
      <c r="B883" s="15"/>
    </row>
    <row r="884" spans="1:2" x14ac:dyDescent="0.3">
      <c r="A884" s="15"/>
      <c r="B884" s="15"/>
    </row>
    <row r="885" spans="1:2" x14ac:dyDescent="0.3">
      <c r="A885" s="15"/>
      <c r="B885" s="15"/>
    </row>
    <row r="886" spans="1:2" x14ac:dyDescent="0.3">
      <c r="A886" s="15"/>
      <c r="B886" s="15"/>
    </row>
    <row r="887" spans="1:2" x14ac:dyDescent="0.3">
      <c r="A887" s="15"/>
      <c r="B887" s="15"/>
    </row>
    <row r="888" spans="1:2" x14ac:dyDescent="0.3">
      <c r="A888" s="15"/>
      <c r="B888" s="15"/>
    </row>
    <row r="889" spans="1:2" x14ac:dyDescent="0.3">
      <c r="A889" s="15"/>
      <c r="B889" s="15"/>
    </row>
    <row r="890" spans="1:2" x14ac:dyDescent="0.3">
      <c r="A890" s="15"/>
      <c r="B890" s="15"/>
    </row>
    <row r="891" spans="1:2" x14ac:dyDescent="0.3">
      <c r="A891" s="15"/>
      <c r="B891" s="15"/>
    </row>
    <row r="892" spans="1:2" x14ac:dyDescent="0.3">
      <c r="A892" s="15"/>
      <c r="B892" s="15"/>
    </row>
    <row r="893" spans="1:2" x14ac:dyDescent="0.3">
      <c r="A893" s="15"/>
      <c r="B893" s="15"/>
    </row>
    <row r="894" spans="1:2" x14ac:dyDescent="0.3">
      <c r="A894" s="15"/>
      <c r="B894" s="15"/>
    </row>
    <row r="895" spans="1:2" x14ac:dyDescent="0.3">
      <c r="A895" s="15"/>
      <c r="B895" s="15"/>
    </row>
    <row r="896" spans="1:2" x14ac:dyDescent="0.3">
      <c r="A896" s="15"/>
      <c r="B896" s="15"/>
    </row>
    <row r="897" spans="1:2" x14ac:dyDescent="0.3">
      <c r="A897" s="15"/>
      <c r="B897" s="15"/>
    </row>
    <row r="898" spans="1:2" x14ac:dyDescent="0.3">
      <c r="A898" s="15"/>
      <c r="B898" s="15"/>
    </row>
    <row r="899" spans="1:2" x14ac:dyDescent="0.3">
      <c r="A899" s="15"/>
      <c r="B899" s="15"/>
    </row>
    <row r="900" spans="1:2" x14ac:dyDescent="0.3">
      <c r="A900" s="15"/>
      <c r="B900" s="15"/>
    </row>
    <row r="901" spans="1:2" x14ac:dyDescent="0.3">
      <c r="A901" s="15"/>
      <c r="B901" s="15"/>
    </row>
    <row r="902" spans="1:2" x14ac:dyDescent="0.3">
      <c r="A902" s="15"/>
      <c r="B902" s="15"/>
    </row>
    <row r="903" spans="1:2" x14ac:dyDescent="0.3">
      <c r="A903" s="15"/>
      <c r="B903" s="15"/>
    </row>
    <row r="904" spans="1:2" x14ac:dyDescent="0.3">
      <c r="A904" s="15"/>
      <c r="B904" s="15"/>
    </row>
    <row r="905" spans="1:2" x14ac:dyDescent="0.3">
      <c r="A905" s="15"/>
      <c r="B905" s="15"/>
    </row>
    <row r="906" spans="1:2" x14ac:dyDescent="0.3">
      <c r="A906" s="15"/>
      <c r="B906" s="15"/>
    </row>
    <row r="907" spans="1:2" x14ac:dyDescent="0.3">
      <c r="A907" s="15"/>
      <c r="B907" s="15"/>
    </row>
    <row r="908" spans="1:2" x14ac:dyDescent="0.3">
      <c r="A908" s="15"/>
      <c r="B908" s="15"/>
    </row>
    <row r="909" spans="1:2" x14ac:dyDescent="0.3">
      <c r="A909" s="15"/>
      <c r="B909" s="15"/>
    </row>
    <row r="910" spans="1:2" x14ac:dyDescent="0.3">
      <c r="A910" s="15"/>
      <c r="B910" s="15"/>
    </row>
    <row r="911" spans="1:2" x14ac:dyDescent="0.3">
      <c r="A911" s="15"/>
      <c r="B911" s="15"/>
    </row>
    <row r="912" spans="1:2" x14ac:dyDescent="0.3">
      <c r="A912" s="15"/>
      <c r="B912" s="15"/>
    </row>
    <row r="913" spans="1:2" x14ac:dyDescent="0.3">
      <c r="A913" s="15"/>
      <c r="B913" s="15"/>
    </row>
    <row r="914" spans="1:2" x14ac:dyDescent="0.3">
      <c r="A914" s="15"/>
      <c r="B914" s="15"/>
    </row>
    <row r="915" spans="1:2" x14ac:dyDescent="0.3">
      <c r="A915" s="15"/>
      <c r="B915" s="15"/>
    </row>
    <row r="916" spans="1:2" x14ac:dyDescent="0.3">
      <c r="A916" s="15"/>
      <c r="B916" s="15"/>
    </row>
    <row r="917" spans="1:2" x14ac:dyDescent="0.3">
      <c r="A917" s="15"/>
      <c r="B917" s="15"/>
    </row>
    <row r="918" spans="1:2" x14ac:dyDescent="0.3">
      <c r="A918" s="15"/>
      <c r="B918" s="15"/>
    </row>
    <row r="919" spans="1:2" x14ac:dyDescent="0.3">
      <c r="A919" s="15"/>
      <c r="B919" s="15"/>
    </row>
    <row r="920" spans="1:2" x14ac:dyDescent="0.3">
      <c r="A920" s="15"/>
      <c r="B920" s="15"/>
    </row>
    <row r="921" spans="1:2" x14ac:dyDescent="0.3">
      <c r="A921" s="15"/>
      <c r="B921" s="15"/>
    </row>
    <row r="922" spans="1:2" x14ac:dyDescent="0.3">
      <c r="A922" s="15"/>
      <c r="B922" s="15"/>
    </row>
    <row r="923" spans="1:2" x14ac:dyDescent="0.3">
      <c r="A923" s="15"/>
      <c r="B923" s="15"/>
    </row>
    <row r="924" spans="1:2" x14ac:dyDescent="0.3">
      <c r="A924" s="15"/>
      <c r="B924" s="15"/>
    </row>
    <row r="925" spans="1:2" x14ac:dyDescent="0.3">
      <c r="A925" s="15"/>
      <c r="B925" s="15"/>
    </row>
    <row r="926" spans="1:2" x14ac:dyDescent="0.3">
      <c r="A926" s="15"/>
      <c r="B926" s="15"/>
    </row>
    <row r="927" spans="1:2" x14ac:dyDescent="0.3">
      <c r="A927" s="15"/>
      <c r="B927" s="15"/>
    </row>
    <row r="928" spans="1:2" x14ac:dyDescent="0.3">
      <c r="A928" s="15"/>
      <c r="B928" s="15"/>
    </row>
    <row r="929" spans="1:2" x14ac:dyDescent="0.3">
      <c r="A929" s="15"/>
      <c r="B929" s="15"/>
    </row>
    <row r="930" spans="1:2" x14ac:dyDescent="0.3">
      <c r="A930" s="15"/>
      <c r="B930" s="15"/>
    </row>
    <row r="931" spans="1:2" x14ac:dyDescent="0.3">
      <c r="A931" s="15"/>
      <c r="B931" s="15"/>
    </row>
    <row r="932" spans="1:2" x14ac:dyDescent="0.3">
      <c r="A932" s="15"/>
      <c r="B932" s="15"/>
    </row>
    <row r="933" spans="1:2" x14ac:dyDescent="0.3">
      <c r="A933" s="15"/>
      <c r="B933" s="15"/>
    </row>
    <row r="934" spans="1:2" x14ac:dyDescent="0.3">
      <c r="A934" s="15"/>
      <c r="B934" s="15"/>
    </row>
    <row r="935" spans="1:2" x14ac:dyDescent="0.3">
      <c r="A935" s="15"/>
      <c r="B935" s="15"/>
    </row>
    <row r="936" spans="1:2" x14ac:dyDescent="0.3">
      <c r="A936" s="15"/>
      <c r="B936" s="15"/>
    </row>
    <row r="937" spans="1:2" x14ac:dyDescent="0.3">
      <c r="A937" s="15"/>
      <c r="B937" s="15"/>
    </row>
    <row r="938" spans="1:2" x14ac:dyDescent="0.3">
      <c r="A938" s="15"/>
      <c r="B938" s="15"/>
    </row>
    <row r="939" spans="1:2" x14ac:dyDescent="0.3">
      <c r="A939" s="15"/>
      <c r="B939" s="15"/>
    </row>
    <row r="940" spans="1:2" x14ac:dyDescent="0.3">
      <c r="A940" s="15"/>
      <c r="B940" s="15"/>
    </row>
    <row r="941" spans="1:2" x14ac:dyDescent="0.3">
      <c r="A941" s="15"/>
      <c r="B941" s="15"/>
    </row>
    <row r="942" spans="1:2" x14ac:dyDescent="0.3">
      <c r="A942" s="15"/>
      <c r="B942" s="15"/>
    </row>
    <row r="943" spans="1:2" x14ac:dyDescent="0.3">
      <c r="A943" s="15"/>
      <c r="B943" s="15"/>
    </row>
    <row r="944" spans="1:2" x14ac:dyDescent="0.3">
      <c r="A944" s="15"/>
      <c r="B944" s="15"/>
    </row>
    <row r="945" spans="1:2" x14ac:dyDescent="0.3">
      <c r="A945" s="15"/>
      <c r="B945" s="15"/>
    </row>
    <row r="946" spans="1:2" x14ac:dyDescent="0.3">
      <c r="A946" s="15"/>
      <c r="B946" s="15"/>
    </row>
    <row r="947" spans="1:2" x14ac:dyDescent="0.3">
      <c r="A947" s="15"/>
      <c r="B947" s="15"/>
    </row>
    <row r="948" spans="1:2" x14ac:dyDescent="0.3">
      <c r="A948" s="15"/>
      <c r="B948" s="15"/>
    </row>
    <row r="949" spans="1:2" x14ac:dyDescent="0.3">
      <c r="A949" s="15"/>
      <c r="B949" s="15"/>
    </row>
    <row r="950" spans="1:2" x14ac:dyDescent="0.3">
      <c r="A950" s="15"/>
      <c r="B950" s="15"/>
    </row>
    <row r="951" spans="1:2" x14ac:dyDescent="0.3">
      <c r="A951" s="15"/>
      <c r="B951" s="15"/>
    </row>
    <row r="952" spans="1:2" x14ac:dyDescent="0.3">
      <c r="A952" s="15"/>
      <c r="B952" s="15"/>
    </row>
    <row r="953" spans="1:2" x14ac:dyDescent="0.3">
      <c r="A953" s="15"/>
      <c r="B953" s="15"/>
    </row>
    <row r="954" spans="1:2" x14ac:dyDescent="0.3">
      <c r="A954" s="15"/>
      <c r="B954" s="15"/>
    </row>
    <row r="955" spans="1:2" x14ac:dyDescent="0.3">
      <c r="A955" s="15"/>
      <c r="B955" s="15"/>
    </row>
    <row r="956" spans="1:2" x14ac:dyDescent="0.3">
      <c r="A956" s="15"/>
      <c r="B956" s="15"/>
    </row>
    <row r="957" spans="1:2" x14ac:dyDescent="0.3">
      <c r="A957" s="15"/>
      <c r="B957" s="15"/>
    </row>
    <row r="958" spans="1:2" x14ac:dyDescent="0.3">
      <c r="A958" s="15"/>
      <c r="B958" s="15"/>
    </row>
    <row r="959" spans="1:2" x14ac:dyDescent="0.3">
      <c r="A959" s="15"/>
      <c r="B959" s="15"/>
    </row>
    <row r="960" spans="1:2" x14ac:dyDescent="0.3">
      <c r="A960" s="15"/>
      <c r="B960" s="15"/>
    </row>
    <row r="961" spans="1:2" x14ac:dyDescent="0.3">
      <c r="A961" s="15"/>
      <c r="B961" s="15"/>
    </row>
    <row r="962" spans="1:2" x14ac:dyDescent="0.3">
      <c r="A962" s="15"/>
      <c r="B962" s="15"/>
    </row>
    <row r="963" spans="1:2" x14ac:dyDescent="0.3">
      <c r="A963" s="15"/>
      <c r="B963" s="15"/>
    </row>
    <row r="964" spans="1:2" x14ac:dyDescent="0.3">
      <c r="A964" s="15"/>
      <c r="B964" s="15"/>
    </row>
    <row r="965" spans="1:2" x14ac:dyDescent="0.3">
      <c r="A965" s="15"/>
      <c r="B965" s="15"/>
    </row>
    <row r="966" spans="1:2" x14ac:dyDescent="0.3">
      <c r="A966" s="15"/>
      <c r="B966" s="15"/>
    </row>
    <row r="967" spans="1:2" x14ac:dyDescent="0.3">
      <c r="A967" s="15"/>
      <c r="B967" s="15"/>
    </row>
    <row r="968" spans="1:2" x14ac:dyDescent="0.3">
      <c r="A968" s="15"/>
      <c r="B968" s="15"/>
    </row>
    <row r="969" spans="1:2" x14ac:dyDescent="0.3">
      <c r="A969" s="15"/>
      <c r="B969" s="15"/>
    </row>
    <row r="970" spans="1:2" x14ac:dyDescent="0.3">
      <c r="A970" s="15"/>
      <c r="B970" s="15"/>
    </row>
    <row r="971" spans="1:2" x14ac:dyDescent="0.3">
      <c r="A971" s="15"/>
      <c r="B971" s="15"/>
    </row>
    <row r="972" spans="1:2" x14ac:dyDescent="0.3">
      <c r="A972" s="15"/>
      <c r="B972" s="15"/>
    </row>
    <row r="973" spans="1:2" x14ac:dyDescent="0.3">
      <c r="A973" s="15"/>
      <c r="B973" s="15"/>
    </row>
    <row r="974" spans="1:2" x14ac:dyDescent="0.3">
      <c r="A974" s="15"/>
      <c r="B974" s="15"/>
    </row>
    <row r="975" spans="1:2" x14ac:dyDescent="0.3">
      <c r="A975" s="15"/>
      <c r="B975" s="15"/>
    </row>
    <row r="976" spans="1:2" x14ac:dyDescent="0.3">
      <c r="A976" s="15"/>
      <c r="B976" s="15"/>
    </row>
    <row r="977" spans="1:2" x14ac:dyDescent="0.3">
      <c r="A977" s="15"/>
      <c r="B977" s="15"/>
    </row>
    <row r="978" spans="1:2" x14ac:dyDescent="0.3">
      <c r="A978" s="15"/>
      <c r="B978" s="15"/>
    </row>
    <row r="979" spans="1:2" x14ac:dyDescent="0.3">
      <c r="A979" s="15"/>
      <c r="B979" s="15"/>
    </row>
    <row r="980" spans="1:2" x14ac:dyDescent="0.3">
      <c r="A980" s="15"/>
      <c r="B980" s="15"/>
    </row>
    <row r="981" spans="1:2" x14ac:dyDescent="0.3">
      <c r="A981" s="15"/>
      <c r="B981" s="15"/>
    </row>
    <row r="982" spans="1:2" x14ac:dyDescent="0.3">
      <c r="A982" s="15"/>
      <c r="B982" s="15"/>
    </row>
    <row r="983" spans="1:2" x14ac:dyDescent="0.3">
      <c r="A983" s="15"/>
      <c r="B983" s="15"/>
    </row>
    <row r="984" spans="1:2" x14ac:dyDescent="0.3">
      <c r="A984" s="15"/>
      <c r="B984" s="15"/>
    </row>
    <row r="985" spans="1:2" x14ac:dyDescent="0.3">
      <c r="A985" s="15"/>
      <c r="B985" s="15"/>
    </row>
    <row r="986" spans="1:2" x14ac:dyDescent="0.3">
      <c r="A986" s="15"/>
      <c r="B986" s="15"/>
    </row>
    <row r="987" spans="1:2" x14ac:dyDescent="0.3">
      <c r="A987" s="15"/>
      <c r="B987" s="15"/>
    </row>
    <row r="988" spans="1:2" x14ac:dyDescent="0.3">
      <c r="A988" s="15"/>
      <c r="B988" s="15"/>
    </row>
    <row r="989" spans="1:2" x14ac:dyDescent="0.3">
      <c r="A989" s="15"/>
      <c r="B989" s="15"/>
    </row>
    <row r="990" spans="1:2" x14ac:dyDescent="0.3">
      <c r="A990" s="15"/>
      <c r="B990" s="15"/>
    </row>
    <row r="991" spans="1:2" x14ac:dyDescent="0.3">
      <c r="A991" s="15"/>
      <c r="B991" s="15"/>
    </row>
    <row r="992" spans="1:2" x14ac:dyDescent="0.3">
      <c r="A992" s="15"/>
      <c r="B992" s="15"/>
    </row>
    <row r="993" spans="1:2" x14ac:dyDescent="0.3">
      <c r="A993" s="15"/>
      <c r="B993" s="15"/>
    </row>
    <row r="994" spans="1:2" x14ac:dyDescent="0.3">
      <c r="A994" s="15"/>
      <c r="B994" s="15"/>
    </row>
    <row r="995" spans="1:2" x14ac:dyDescent="0.3">
      <c r="A995" s="15"/>
      <c r="B995" s="15"/>
    </row>
    <row r="996" spans="1:2" x14ac:dyDescent="0.3">
      <c r="A996" s="15"/>
      <c r="B996" s="15"/>
    </row>
    <row r="997" spans="1:2" x14ac:dyDescent="0.3">
      <c r="A997" s="15"/>
      <c r="B997" s="15"/>
    </row>
    <row r="998" spans="1:2" x14ac:dyDescent="0.3">
      <c r="A998" s="15"/>
      <c r="B998" s="15"/>
    </row>
    <row r="999" spans="1:2" x14ac:dyDescent="0.3">
      <c r="A999" s="15"/>
      <c r="B999" s="15"/>
    </row>
    <row r="1000" spans="1:2" x14ac:dyDescent="0.3">
      <c r="A1000" s="15"/>
      <c r="B1000" s="15"/>
    </row>
    <row r="1001" spans="1:2" x14ac:dyDescent="0.3">
      <c r="A1001" s="15"/>
      <c r="B1001" s="15"/>
    </row>
    <row r="1002" spans="1:2" x14ac:dyDescent="0.3">
      <c r="A1002" s="15"/>
      <c r="B1002" s="15"/>
    </row>
    <row r="1003" spans="1:2" x14ac:dyDescent="0.3">
      <c r="A1003" s="15"/>
      <c r="B1003" s="15"/>
    </row>
    <row r="1004" spans="1:2" x14ac:dyDescent="0.3">
      <c r="A1004" s="15"/>
      <c r="B1004" s="15"/>
    </row>
    <row r="1005" spans="1:2" x14ac:dyDescent="0.3">
      <c r="A1005" s="15"/>
      <c r="B1005" s="15"/>
    </row>
    <row r="1006" spans="1:2" x14ac:dyDescent="0.3">
      <c r="A1006" s="15"/>
      <c r="B1006" s="15"/>
    </row>
    <row r="1007" spans="1:2" x14ac:dyDescent="0.3">
      <c r="A1007" s="15"/>
      <c r="B1007" s="15"/>
    </row>
    <row r="1008" spans="1:2" x14ac:dyDescent="0.3">
      <c r="A1008" s="15"/>
      <c r="B1008" s="15"/>
    </row>
    <row r="1009" spans="1:2" x14ac:dyDescent="0.3">
      <c r="A1009" s="15"/>
      <c r="B1009" s="15"/>
    </row>
    <row r="1010" spans="1:2" x14ac:dyDescent="0.3">
      <c r="A1010" s="15"/>
      <c r="B1010" s="15"/>
    </row>
    <row r="1011" spans="1:2" x14ac:dyDescent="0.3">
      <c r="A1011" s="15"/>
      <c r="B1011" s="15"/>
    </row>
    <row r="1012" spans="1:2" x14ac:dyDescent="0.3">
      <c r="A1012" s="15"/>
      <c r="B1012" s="15"/>
    </row>
    <row r="1013" spans="1:2" x14ac:dyDescent="0.3">
      <c r="A1013" s="15"/>
      <c r="B1013" s="15"/>
    </row>
    <row r="1014" spans="1:2" x14ac:dyDescent="0.3">
      <c r="A1014" s="15"/>
      <c r="B1014" s="15"/>
    </row>
    <row r="1015" spans="1:2" x14ac:dyDescent="0.3">
      <c r="A1015" s="15"/>
      <c r="B1015" s="15"/>
    </row>
    <row r="1016" spans="1:2" x14ac:dyDescent="0.3">
      <c r="A1016" s="15"/>
      <c r="B1016" s="15"/>
    </row>
    <row r="1017" spans="1:2" x14ac:dyDescent="0.3">
      <c r="A1017" s="15"/>
      <c r="B1017" s="15"/>
    </row>
    <row r="1018" spans="1:2" x14ac:dyDescent="0.3">
      <c r="A1018" s="15"/>
      <c r="B1018" s="15"/>
    </row>
    <row r="1019" spans="1:2" x14ac:dyDescent="0.3">
      <c r="A1019" s="15"/>
      <c r="B1019" s="15"/>
    </row>
    <row r="1020" spans="1:2" x14ac:dyDescent="0.3">
      <c r="A1020" s="15"/>
      <c r="B1020" s="15"/>
    </row>
    <row r="1021" spans="1:2" x14ac:dyDescent="0.3">
      <c r="A1021" s="15"/>
      <c r="B1021" s="15"/>
    </row>
    <row r="1022" spans="1:2" x14ac:dyDescent="0.3">
      <c r="A1022" s="15"/>
      <c r="B1022" s="15"/>
    </row>
    <row r="1023" spans="1:2" x14ac:dyDescent="0.3">
      <c r="A1023" s="15"/>
      <c r="B1023" s="15"/>
    </row>
    <row r="1024" spans="1:2" x14ac:dyDescent="0.3">
      <c r="A1024" s="15"/>
      <c r="B1024" s="15"/>
    </row>
    <row r="1025" spans="1:2" x14ac:dyDescent="0.3">
      <c r="A1025" s="15"/>
      <c r="B1025" s="15"/>
    </row>
    <row r="1026" spans="1:2" x14ac:dyDescent="0.3">
      <c r="A1026" s="15"/>
      <c r="B1026" s="15"/>
    </row>
    <row r="1027" spans="1:2" x14ac:dyDescent="0.3">
      <c r="A1027" s="15"/>
      <c r="B1027" s="15"/>
    </row>
    <row r="1028" spans="1:2" x14ac:dyDescent="0.3">
      <c r="A1028" s="15"/>
      <c r="B1028" s="15"/>
    </row>
    <row r="1029" spans="1:2" x14ac:dyDescent="0.3">
      <c r="A1029" s="15"/>
      <c r="B1029" s="15"/>
    </row>
    <row r="1030" spans="1:2" x14ac:dyDescent="0.3">
      <c r="A1030" s="15"/>
      <c r="B1030" s="15"/>
    </row>
    <row r="1031" spans="1:2" x14ac:dyDescent="0.3">
      <c r="A1031" s="15"/>
      <c r="B1031" s="15"/>
    </row>
    <row r="1032" spans="1:2" x14ac:dyDescent="0.3">
      <c r="A1032" s="15"/>
      <c r="B1032" s="15"/>
    </row>
    <row r="1033" spans="1:2" x14ac:dyDescent="0.3">
      <c r="A1033" s="15"/>
      <c r="B1033" s="15"/>
    </row>
    <row r="1034" spans="1:2" x14ac:dyDescent="0.3">
      <c r="A1034" s="15"/>
      <c r="B1034" s="15"/>
    </row>
    <row r="1035" spans="1:2" x14ac:dyDescent="0.3">
      <c r="A1035" s="15"/>
      <c r="B1035" s="15"/>
    </row>
    <row r="1036" spans="1:2" x14ac:dyDescent="0.3">
      <c r="A1036" s="15"/>
      <c r="B1036" s="15"/>
    </row>
    <row r="1037" spans="1:2" x14ac:dyDescent="0.3">
      <c r="A1037" s="15"/>
      <c r="B1037" s="15"/>
    </row>
    <row r="1038" spans="1:2" x14ac:dyDescent="0.3">
      <c r="A1038" s="15"/>
      <c r="B1038" s="15"/>
    </row>
    <row r="1039" spans="1:2" x14ac:dyDescent="0.3">
      <c r="A1039" s="15"/>
      <c r="B1039" s="15"/>
    </row>
    <row r="1040" spans="1:2" x14ac:dyDescent="0.3">
      <c r="A1040" s="15"/>
      <c r="B1040" s="15"/>
    </row>
    <row r="1041" spans="1:2" x14ac:dyDescent="0.3">
      <c r="A1041" s="15"/>
      <c r="B1041" s="15"/>
    </row>
    <row r="1042" spans="1:2" x14ac:dyDescent="0.3">
      <c r="A1042" s="15"/>
      <c r="B1042" s="15"/>
    </row>
    <row r="1043" spans="1:2" x14ac:dyDescent="0.3">
      <c r="A1043" s="15"/>
      <c r="B1043" s="15"/>
    </row>
  </sheetData>
  <mergeCells count="15">
    <mergeCell ref="A1:I1"/>
    <mergeCell ref="A2:I2"/>
    <mergeCell ref="G4:I4"/>
    <mergeCell ref="A5:A7"/>
    <mergeCell ref="B5:B7"/>
    <mergeCell ref="C5:C7"/>
    <mergeCell ref="D5:D7"/>
    <mergeCell ref="E5:G5"/>
    <mergeCell ref="H5:I5"/>
    <mergeCell ref="A3:I3"/>
    <mergeCell ref="E54:I54"/>
    <mergeCell ref="E6:E7"/>
    <mergeCell ref="F6:G6"/>
    <mergeCell ref="H6:H7"/>
    <mergeCell ref="I6:I7"/>
  </mergeCells>
  <phoneticPr fontId="0" type="noConversion"/>
  <printOptions horizontalCentered="1"/>
  <pageMargins left="0.4" right="0.4" top="0.8" bottom="0.7" header="0.49" footer="0.2"/>
  <pageSetup paperSize="9" scale="90" orientation="landscape" r:id="rId1"/>
  <headerFooter alignWithMargins="0">
    <oddFooter>&amp;C&amp;P/3 (PL01)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49" workbookViewId="0">
      <selection activeCell="A3" sqref="A3:H3"/>
    </sheetView>
  </sheetViews>
  <sheetFormatPr defaultColWidth="9" defaultRowHeight="12.75" x14ac:dyDescent="0.2"/>
  <cols>
    <col min="1" max="1" width="5.375" style="59" customWidth="1"/>
    <col min="2" max="2" width="55.75" style="21" customWidth="1"/>
    <col min="3" max="3" width="10.5" style="21" customWidth="1"/>
    <col min="4" max="4" width="10.375" style="21" customWidth="1"/>
    <col min="5" max="5" width="10.25" style="21" customWidth="1"/>
    <col min="6" max="7" width="10.125" style="21" customWidth="1"/>
    <col min="8" max="8" width="10.25" style="21" customWidth="1"/>
    <col min="9" max="16384" width="9" style="21"/>
  </cols>
  <sheetData>
    <row r="1" spans="1:8" ht="19.5" customHeight="1" x14ac:dyDescent="0.3">
      <c r="A1" s="241" t="s">
        <v>291</v>
      </c>
      <c r="B1" s="241"/>
      <c r="C1" s="241"/>
      <c r="D1" s="241"/>
      <c r="E1" s="241"/>
      <c r="F1" s="241"/>
      <c r="G1" s="241"/>
      <c r="H1" s="241"/>
    </row>
    <row r="2" spans="1:8" ht="17.25" customHeight="1" x14ac:dyDescent="0.3">
      <c r="A2" s="242" t="s">
        <v>413</v>
      </c>
      <c r="B2" s="242"/>
      <c r="C2" s="242"/>
      <c r="D2" s="242"/>
      <c r="E2" s="242"/>
      <c r="F2" s="242"/>
      <c r="G2" s="242"/>
      <c r="H2" s="242"/>
    </row>
    <row r="3" spans="1:8" ht="17.25" customHeight="1" x14ac:dyDescent="0.2">
      <c r="A3" s="237" t="s">
        <v>796</v>
      </c>
      <c r="B3" s="237"/>
      <c r="C3" s="237"/>
      <c r="D3" s="237"/>
      <c r="E3" s="237"/>
      <c r="F3" s="237"/>
      <c r="G3" s="237"/>
      <c r="H3" s="237"/>
    </row>
    <row r="4" spans="1:8" ht="12.75" customHeight="1" x14ac:dyDescent="0.2">
      <c r="A4" s="74"/>
      <c r="B4" s="74"/>
      <c r="C4" s="74"/>
      <c r="D4" s="74"/>
      <c r="F4" s="66"/>
      <c r="G4" s="66"/>
      <c r="H4" s="66"/>
    </row>
    <row r="5" spans="1:8" s="118" customFormat="1" ht="18" customHeight="1" x14ac:dyDescent="0.25">
      <c r="A5" s="35"/>
      <c r="B5" s="35"/>
      <c r="F5" s="243" t="s">
        <v>469</v>
      </c>
      <c r="G5" s="243"/>
      <c r="H5" s="243"/>
    </row>
    <row r="6" spans="1:8" ht="22.5" customHeight="1" x14ac:dyDescent="0.2">
      <c r="A6" s="224" t="s">
        <v>44</v>
      </c>
      <c r="B6" s="224" t="s">
        <v>45</v>
      </c>
      <c r="C6" s="244" t="s">
        <v>304</v>
      </c>
      <c r="D6" s="246"/>
      <c r="E6" s="244" t="s">
        <v>362</v>
      </c>
      <c r="F6" s="245"/>
      <c r="G6" s="245"/>
      <c r="H6" s="246"/>
    </row>
    <row r="7" spans="1:8" ht="20.25" customHeight="1" x14ac:dyDescent="0.2">
      <c r="A7" s="247"/>
      <c r="B7" s="247" t="s">
        <v>46</v>
      </c>
      <c r="C7" s="224" t="s">
        <v>47</v>
      </c>
      <c r="D7" s="238" t="s">
        <v>48</v>
      </c>
      <c r="E7" s="224" t="s">
        <v>47</v>
      </c>
      <c r="F7" s="238" t="s">
        <v>48</v>
      </c>
      <c r="G7" s="238" t="s">
        <v>49</v>
      </c>
      <c r="H7" s="238" t="s">
        <v>50</v>
      </c>
    </row>
    <row r="8" spans="1:8" ht="7.5" customHeight="1" x14ac:dyDescent="0.2">
      <c r="A8" s="247"/>
      <c r="B8" s="247"/>
      <c r="C8" s="247"/>
      <c r="D8" s="239"/>
      <c r="E8" s="247"/>
      <c r="F8" s="239"/>
      <c r="G8" s="239"/>
      <c r="H8" s="239"/>
    </row>
    <row r="9" spans="1:8" ht="25.5" customHeight="1" x14ac:dyDescent="0.2">
      <c r="A9" s="75"/>
      <c r="B9" s="60" t="s">
        <v>51</v>
      </c>
      <c r="C9" s="61">
        <v>13414427</v>
      </c>
      <c r="D9" s="61">
        <v>7857477</v>
      </c>
      <c r="E9" s="61">
        <f>SUM(E10,E20,E45:E58)</f>
        <v>12965177.274909278</v>
      </c>
      <c r="F9" s="61">
        <f>SUM(F10,F20,F45:F58)</f>
        <v>6642274.2749092784</v>
      </c>
      <c r="G9" s="61">
        <f>SUM(G10,G20,G45:G58)</f>
        <v>4779951</v>
      </c>
      <c r="H9" s="61">
        <f>SUM(H10,H20,H45:H58)</f>
        <v>1542952</v>
      </c>
    </row>
    <row r="10" spans="1:8" ht="25.5" customHeight="1" x14ac:dyDescent="0.2">
      <c r="A10" s="37" t="s">
        <v>52</v>
      </c>
      <c r="B10" s="25" t="s">
        <v>53</v>
      </c>
      <c r="C10" s="61">
        <v>2840706</v>
      </c>
      <c r="D10" s="61">
        <v>2252510</v>
      </c>
      <c r="E10" s="61">
        <f>SUM(E11:E12)</f>
        <v>2791713</v>
      </c>
      <c r="F10" s="61">
        <f t="shared" ref="F10:H10" si="0">SUM(F11:F12)</f>
        <v>1933482</v>
      </c>
      <c r="G10" s="61">
        <f t="shared" si="0"/>
        <v>519909</v>
      </c>
      <c r="H10" s="61">
        <f t="shared" si="0"/>
        <v>338322</v>
      </c>
    </row>
    <row r="11" spans="1:8" ht="25.5" customHeight="1" x14ac:dyDescent="0.25">
      <c r="A11" s="76">
        <v>1</v>
      </c>
      <c r="B11" s="77" t="s">
        <v>54</v>
      </c>
      <c r="C11" s="30">
        <v>1976274</v>
      </c>
      <c r="D11" s="30">
        <v>1976274</v>
      </c>
      <c r="E11" s="30">
        <f>F11</f>
        <v>1684107</v>
      </c>
      <c r="F11" s="30">
        <f>'Chi NSNN.PL03'!F10</f>
        <v>1684107</v>
      </c>
      <c r="G11" s="30"/>
      <c r="H11" s="30"/>
    </row>
    <row r="12" spans="1:8" ht="25.5" customHeight="1" x14ac:dyDescent="0.25">
      <c r="A12" s="26">
        <v>2</v>
      </c>
      <c r="B12" s="4" t="s">
        <v>62</v>
      </c>
      <c r="C12" s="30">
        <v>764432</v>
      </c>
      <c r="D12" s="30">
        <v>276236</v>
      </c>
      <c r="E12" s="30">
        <f>'Chi NSNN.PL03'!E19</f>
        <v>1107606</v>
      </c>
      <c r="F12" s="30">
        <f>'Chi NSNN.PL03'!F19</f>
        <v>249375</v>
      </c>
      <c r="G12" s="30">
        <f>'Chi NSNN.PL03'!G19</f>
        <v>519909</v>
      </c>
      <c r="H12" s="30">
        <f>'Chi NSNN.PL03'!H19</f>
        <v>338322</v>
      </c>
    </row>
    <row r="13" spans="1:8" ht="25.5" customHeight="1" x14ac:dyDescent="0.25">
      <c r="A13" s="26"/>
      <c r="B13" s="4" t="s">
        <v>57</v>
      </c>
      <c r="C13" s="30"/>
      <c r="D13" s="30"/>
      <c r="E13" s="30"/>
      <c r="F13" s="30"/>
      <c r="G13" s="30"/>
      <c r="H13" s="30"/>
    </row>
    <row r="14" spans="1:8" ht="23.25" customHeight="1" x14ac:dyDescent="0.25">
      <c r="A14" s="26"/>
      <c r="B14" s="4" t="s">
        <v>575</v>
      </c>
      <c r="C14" s="30">
        <v>7000</v>
      </c>
      <c r="D14" s="30">
        <v>7000</v>
      </c>
      <c r="E14" s="30">
        <f>F14</f>
        <v>7000</v>
      </c>
      <c r="F14" s="30">
        <f>'Chi NSNN.PL03'!F21</f>
        <v>7000</v>
      </c>
      <c r="G14" s="30"/>
      <c r="H14" s="30"/>
    </row>
    <row r="15" spans="1:8" ht="23.25" customHeight="1" x14ac:dyDescent="0.25">
      <c r="A15" s="26"/>
      <c r="B15" s="4" t="s">
        <v>576</v>
      </c>
      <c r="C15" s="30">
        <v>96145</v>
      </c>
      <c r="D15" s="30">
        <v>96145</v>
      </c>
      <c r="E15" s="30">
        <f>F15+G15</f>
        <v>146135</v>
      </c>
      <c r="F15" s="30">
        <f>'Chi NSNN.PL03'!F25</f>
        <v>71500</v>
      </c>
      <c r="G15" s="30">
        <f>'Chi NSNN.PL03'!G25</f>
        <v>74635</v>
      </c>
      <c r="H15" s="30"/>
    </row>
    <row r="16" spans="1:8" ht="24" customHeight="1" x14ac:dyDescent="0.25">
      <c r="A16" s="26"/>
      <c r="B16" s="4" t="s">
        <v>577</v>
      </c>
      <c r="C16" s="30">
        <v>53000</v>
      </c>
      <c r="D16" s="30">
        <v>53000</v>
      </c>
      <c r="E16" s="30">
        <v>24000</v>
      </c>
      <c r="F16" s="30">
        <v>24000</v>
      </c>
      <c r="G16" s="30"/>
      <c r="H16" s="30"/>
    </row>
    <row r="17" spans="1:8" ht="24" customHeight="1" x14ac:dyDescent="0.25">
      <c r="A17" s="26"/>
      <c r="B17" s="4" t="s">
        <v>578</v>
      </c>
      <c r="C17" s="30"/>
      <c r="D17" s="30"/>
      <c r="E17" s="30">
        <v>30000</v>
      </c>
      <c r="F17" s="30">
        <v>30000</v>
      </c>
      <c r="G17" s="30"/>
      <c r="H17" s="30"/>
    </row>
    <row r="18" spans="1:8" ht="24" customHeight="1" x14ac:dyDescent="0.25">
      <c r="A18" s="26"/>
      <c r="B18" s="4" t="s">
        <v>579</v>
      </c>
      <c r="C18" s="30">
        <v>120091</v>
      </c>
      <c r="D18" s="30">
        <f>D12-D14-D15-D16</f>
        <v>120091</v>
      </c>
      <c r="E18" s="30">
        <v>116875</v>
      </c>
      <c r="F18" s="30">
        <v>116875</v>
      </c>
      <c r="G18" s="30"/>
      <c r="H18" s="30"/>
    </row>
    <row r="19" spans="1:8" ht="23.25" customHeight="1" x14ac:dyDescent="0.25">
      <c r="A19" s="26">
        <v>3</v>
      </c>
      <c r="B19" s="4" t="s">
        <v>430</v>
      </c>
      <c r="C19" s="30"/>
      <c r="D19" s="30"/>
      <c r="E19" s="30"/>
      <c r="F19" s="30"/>
      <c r="G19" s="30"/>
      <c r="H19" s="30"/>
    </row>
    <row r="20" spans="1:8" s="28" customFormat="1" ht="24.95" customHeight="1" x14ac:dyDescent="0.2">
      <c r="A20" s="37" t="s">
        <v>73</v>
      </c>
      <c r="B20" s="25" t="s">
        <v>74</v>
      </c>
      <c r="C20" s="2">
        <v>7448884</v>
      </c>
      <c r="D20" s="2">
        <v>2982658</v>
      </c>
      <c r="E20" s="2">
        <f>SUM(E21:E44)</f>
        <v>8883411.2749092784</v>
      </c>
      <c r="F20" s="2">
        <f>SUM(F21:F44)</f>
        <v>3529996.2749092788</v>
      </c>
      <c r="G20" s="2">
        <f>SUM(G21:G44)</f>
        <v>4177006</v>
      </c>
      <c r="H20" s="2">
        <f>SUM(H21:H44)</f>
        <v>1176409</v>
      </c>
    </row>
    <row r="21" spans="1:8" s="28" customFormat="1" ht="24" customHeight="1" x14ac:dyDescent="0.25">
      <c r="A21" s="26">
        <v>1</v>
      </c>
      <c r="B21" s="4" t="s">
        <v>364</v>
      </c>
      <c r="C21" s="1">
        <v>1594556</v>
      </c>
      <c r="D21" s="1">
        <f>'Chi NSNN.PL03'!D47</f>
        <v>677353</v>
      </c>
      <c r="E21" s="1">
        <f t="shared" ref="E21:E44" si="1">F21+G21+H21</f>
        <v>1933515.414909279</v>
      </c>
      <c r="F21" s="1">
        <f>'Chi NSNN.PL03'!F47</f>
        <v>722966.41490927897</v>
      </c>
      <c r="G21" s="1">
        <f>'Chi NSNN.PL03'!G47</f>
        <v>299682</v>
      </c>
      <c r="H21" s="1">
        <f>'Chi NSNN.PL03'!H47</f>
        <v>910867</v>
      </c>
    </row>
    <row r="22" spans="1:8" s="28" customFormat="1" ht="24" customHeight="1" x14ac:dyDescent="0.25">
      <c r="A22" s="26">
        <v>2</v>
      </c>
      <c r="B22" s="4" t="s">
        <v>363</v>
      </c>
      <c r="C22" s="1">
        <v>3286057</v>
      </c>
      <c r="D22" s="1">
        <f>'Chi NSNN.PL03'!D83</f>
        <v>888607</v>
      </c>
      <c r="E22" s="1">
        <f t="shared" si="1"/>
        <v>3700928.86</v>
      </c>
      <c r="F22" s="1">
        <f>'Chi NSNN.PL03'!F83</f>
        <v>1034487.86</v>
      </c>
      <c r="G22" s="1">
        <f>'Chi NSNN.PL03'!G83</f>
        <v>2666441</v>
      </c>
      <c r="H22" s="1"/>
    </row>
    <row r="23" spans="1:8" s="28" customFormat="1" ht="24" customHeight="1" x14ac:dyDescent="0.25">
      <c r="A23" s="26">
        <v>3</v>
      </c>
      <c r="B23" s="4" t="s">
        <v>96</v>
      </c>
      <c r="C23" s="1">
        <v>473792</v>
      </c>
      <c r="D23" s="1">
        <f>'Chi NSNN.PL03'!D104</f>
        <v>297473</v>
      </c>
      <c r="E23" s="1">
        <f t="shared" si="1"/>
        <v>534000</v>
      </c>
      <c r="F23" s="1">
        <f>'Chi NSNN.PL03'!F104</f>
        <v>347339</v>
      </c>
      <c r="G23" s="1">
        <f>'Chi NSNN.PL03'!G104</f>
        <v>186661</v>
      </c>
      <c r="H23" s="1"/>
    </row>
    <row r="24" spans="1:8" s="28" customFormat="1" ht="24" customHeight="1" x14ac:dyDescent="0.25">
      <c r="A24" s="26">
        <v>4</v>
      </c>
      <c r="B24" s="4" t="s">
        <v>98</v>
      </c>
      <c r="C24" s="1">
        <v>97243</v>
      </c>
      <c r="D24" s="1">
        <f>'Chi NSNN.PL03'!D110</f>
        <v>45976</v>
      </c>
      <c r="E24" s="1">
        <f t="shared" si="1"/>
        <v>107932</v>
      </c>
      <c r="F24" s="1">
        <f>'Chi NSNN.PL03'!F110</f>
        <v>62728</v>
      </c>
      <c r="G24" s="1">
        <f>'Chi NSNN.PL03'!G110</f>
        <v>19421</v>
      </c>
      <c r="H24" s="1">
        <f>'Chi NSNN.PL03'!H110</f>
        <v>25783</v>
      </c>
    </row>
    <row r="25" spans="1:8" s="28" customFormat="1" ht="24" customHeight="1" x14ac:dyDescent="0.25">
      <c r="A25" s="26">
        <v>5</v>
      </c>
      <c r="B25" s="4" t="s">
        <v>106</v>
      </c>
      <c r="C25" s="1">
        <v>32789</v>
      </c>
      <c r="D25" s="1">
        <f>'Chi NSNN.PL03'!D122</f>
        <v>19400</v>
      </c>
      <c r="E25" s="1">
        <f t="shared" si="1"/>
        <v>38050</v>
      </c>
      <c r="F25" s="1">
        <f>'Chi NSNN.PL03'!F122</f>
        <v>24400</v>
      </c>
      <c r="G25" s="1">
        <f>'Chi NSNN.PL03'!G122</f>
        <v>13650</v>
      </c>
      <c r="H25" s="1"/>
    </row>
    <row r="26" spans="1:8" s="28" customFormat="1" ht="24" customHeight="1" x14ac:dyDescent="0.25">
      <c r="A26" s="26">
        <v>6</v>
      </c>
      <c r="B26" s="4" t="s">
        <v>109</v>
      </c>
      <c r="C26" s="1">
        <v>4400</v>
      </c>
      <c r="D26" s="1">
        <f>'Chi NSNN.PL03'!D128</f>
        <v>3900</v>
      </c>
      <c r="E26" s="1">
        <f t="shared" si="1"/>
        <v>4500</v>
      </c>
      <c r="F26" s="1">
        <f>'Chi NSNN.PL03'!F128</f>
        <v>4500</v>
      </c>
      <c r="G26" s="1"/>
      <c r="H26" s="1"/>
    </row>
    <row r="27" spans="1:8" s="28" customFormat="1" ht="24" customHeight="1" x14ac:dyDescent="0.25">
      <c r="A27" s="26">
        <v>7</v>
      </c>
      <c r="B27" s="4" t="s">
        <v>110</v>
      </c>
      <c r="C27" s="1">
        <v>27652</v>
      </c>
      <c r="D27" s="1">
        <f>'Chi NSNN.PL03'!D130</f>
        <v>27052</v>
      </c>
      <c r="E27" s="1">
        <f t="shared" si="1"/>
        <v>37952</v>
      </c>
      <c r="F27" s="1">
        <f>'Chi NSNN.PL03'!F130</f>
        <v>37952</v>
      </c>
      <c r="G27" s="1"/>
      <c r="H27" s="1"/>
    </row>
    <row r="28" spans="1:8" s="67" customFormat="1" ht="24" customHeight="1" x14ac:dyDescent="0.25">
      <c r="A28" s="26">
        <v>8</v>
      </c>
      <c r="B28" s="68" t="s">
        <v>112</v>
      </c>
      <c r="C28" s="72">
        <v>655728</v>
      </c>
      <c r="D28" s="72">
        <f>'Chi NSNN.PL03'!D133</f>
        <v>276546</v>
      </c>
      <c r="E28" s="1">
        <f t="shared" si="1"/>
        <v>1015510</v>
      </c>
      <c r="F28" s="1">
        <f>'Chi NSNN.PL03'!F133</f>
        <v>490776</v>
      </c>
      <c r="G28" s="1">
        <f>'Chi NSNN.PL03'!G133</f>
        <v>410017</v>
      </c>
      <c r="H28" s="1">
        <f>'Chi NSNN.PL03'!H133</f>
        <v>114717</v>
      </c>
    </row>
    <row r="29" spans="1:8" s="28" customFormat="1" ht="24" customHeight="1" x14ac:dyDescent="0.25">
      <c r="A29" s="26">
        <v>9</v>
      </c>
      <c r="B29" s="4" t="s">
        <v>124</v>
      </c>
      <c r="C29" s="1">
        <v>100661</v>
      </c>
      <c r="D29" s="1">
        <f>'Chi NSNN.PL03'!D152</f>
        <v>61100</v>
      </c>
      <c r="E29" s="1">
        <f t="shared" si="1"/>
        <v>129522</v>
      </c>
      <c r="F29" s="1">
        <f>'Chi NSNN.PL03'!F152</f>
        <v>72100</v>
      </c>
      <c r="G29" s="1">
        <f>'Chi NSNN.PL03'!G152</f>
        <v>12775</v>
      </c>
      <c r="H29" s="1">
        <f>'Chi NSNN.PL03'!H152</f>
        <v>44647</v>
      </c>
    </row>
    <row r="30" spans="1:8" s="28" customFormat="1" ht="24" customHeight="1" x14ac:dyDescent="0.25">
      <c r="A30" s="26">
        <v>10</v>
      </c>
      <c r="B30" s="4" t="s">
        <v>135</v>
      </c>
      <c r="C30" s="1">
        <v>56225</v>
      </c>
      <c r="D30" s="1">
        <f>'Chi NSNN.PL03'!D170</f>
        <v>27500</v>
      </c>
      <c r="E30" s="1">
        <f t="shared" si="1"/>
        <v>64571</v>
      </c>
      <c r="F30" s="1">
        <f>'Chi NSNN.PL03'!F170</f>
        <v>37500</v>
      </c>
      <c r="G30" s="1">
        <f>'Chi NSNN.PL03'!G170</f>
        <v>18235</v>
      </c>
      <c r="H30" s="1">
        <f>'Chi NSNN.PL03'!H170</f>
        <v>8836</v>
      </c>
    </row>
    <row r="31" spans="1:8" s="28" customFormat="1" ht="24" customHeight="1" x14ac:dyDescent="0.25">
      <c r="A31" s="26">
        <v>11</v>
      </c>
      <c r="B31" s="4" t="s">
        <v>75</v>
      </c>
      <c r="C31" s="1">
        <v>591489</v>
      </c>
      <c r="D31" s="1">
        <f>'Chi NSNN.PL03'!D175</f>
        <v>252131</v>
      </c>
      <c r="E31" s="1">
        <f t="shared" si="1"/>
        <v>832580</v>
      </c>
      <c r="F31" s="1">
        <f>'Chi NSNN.PL03'!F175</f>
        <v>300777</v>
      </c>
      <c r="G31" s="1">
        <f>'Chi NSNN.PL03'!G175</f>
        <v>468727</v>
      </c>
      <c r="H31" s="1">
        <f>'Chi NSNN.PL03'!H175</f>
        <v>63076</v>
      </c>
    </row>
    <row r="32" spans="1:8" s="28" customFormat="1" ht="24" customHeight="1" x14ac:dyDescent="0.25">
      <c r="A32" s="26">
        <v>12</v>
      </c>
      <c r="B32" s="4" t="s">
        <v>84</v>
      </c>
      <c r="C32" s="1">
        <v>57332</v>
      </c>
      <c r="D32" s="1">
        <f>'Chi NSNN.PL03'!D194</f>
        <v>16660</v>
      </c>
      <c r="E32" s="1">
        <f t="shared" si="1"/>
        <v>104120</v>
      </c>
      <c r="F32" s="1">
        <f>'Chi NSNN.PL03'!F194</f>
        <v>45960</v>
      </c>
      <c r="G32" s="1">
        <f>'Chi NSNN.PL03'!G194</f>
        <v>58160</v>
      </c>
      <c r="H32" s="1"/>
    </row>
    <row r="33" spans="1:8" s="28" customFormat="1" ht="24" customHeight="1" x14ac:dyDescent="0.25">
      <c r="A33" s="26">
        <v>13</v>
      </c>
      <c r="B33" s="4" t="s">
        <v>345</v>
      </c>
      <c r="C33" s="1">
        <v>56478</v>
      </c>
      <c r="D33" s="1">
        <f>'Chi NSNN.PL03'!D200</f>
        <v>56478</v>
      </c>
      <c r="E33" s="1">
        <f t="shared" si="1"/>
        <v>90000</v>
      </c>
      <c r="F33" s="1">
        <f>'Chi NSNN.PL03'!F200</f>
        <v>90000</v>
      </c>
      <c r="G33" s="1"/>
      <c r="H33" s="1"/>
    </row>
    <row r="34" spans="1:8" s="28" customFormat="1" ht="24" customHeight="1" x14ac:dyDescent="0.25">
      <c r="A34" s="26">
        <v>14</v>
      </c>
      <c r="B34" s="4" t="s">
        <v>151</v>
      </c>
      <c r="C34" s="1">
        <v>20000</v>
      </c>
      <c r="D34" s="1">
        <v>20000</v>
      </c>
      <c r="E34" s="1">
        <f t="shared" si="1"/>
        <v>25000</v>
      </c>
      <c r="F34" s="1">
        <f>'Chi NSNN.PL03'!F201</f>
        <v>25000</v>
      </c>
      <c r="G34" s="1"/>
      <c r="H34" s="1"/>
    </row>
    <row r="35" spans="1:8" s="28" customFormat="1" ht="24" customHeight="1" x14ac:dyDescent="0.25">
      <c r="A35" s="26">
        <v>15</v>
      </c>
      <c r="B35" s="4" t="s">
        <v>152</v>
      </c>
      <c r="C35" s="1">
        <v>40000</v>
      </c>
      <c r="D35" s="1">
        <v>40000</v>
      </c>
      <c r="E35" s="1">
        <f t="shared" si="1"/>
        <v>40000</v>
      </c>
      <c r="F35" s="1">
        <f>'Chi NSNN.PL03'!F202</f>
        <v>40000</v>
      </c>
      <c r="G35" s="1"/>
      <c r="H35" s="1"/>
    </row>
    <row r="36" spans="1:8" s="28" customFormat="1" ht="24" customHeight="1" x14ac:dyDescent="0.25">
      <c r="A36" s="26">
        <v>16</v>
      </c>
      <c r="B36" s="4" t="s">
        <v>153</v>
      </c>
      <c r="C36" s="1">
        <v>15000</v>
      </c>
      <c r="D36" s="1">
        <v>1500</v>
      </c>
      <c r="E36" s="1">
        <f t="shared" si="1"/>
        <v>1500</v>
      </c>
      <c r="F36" s="1">
        <f>'Chi NSNN.PL03'!F203</f>
        <v>1500</v>
      </c>
      <c r="G36" s="1"/>
      <c r="H36" s="1"/>
    </row>
    <row r="37" spans="1:8" s="28" customFormat="1" ht="35.25" customHeight="1" x14ac:dyDescent="0.25">
      <c r="A37" s="26">
        <v>17</v>
      </c>
      <c r="B37" s="4" t="s">
        <v>389</v>
      </c>
      <c r="C37" s="1"/>
      <c r="D37" s="1"/>
      <c r="E37" s="1">
        <f t="shared" si="1"/>
        <v>20000</v>
      </c>
      <c r="F37" s="1">
        <f>'Chi NSNN.PL03'!F204</f>
        <v>20000</v>
      </c>
      <c r="G37" s="1"/>
      <c r="H37" s="1"/>
    </row>
    <row r="38" spans="1:8" s="28" customFormat="1" ht="35.25" customHeight="1" x14ac:dyDescent="0.25">
      <c r="A38" s="26">
        <v>18</v>
      </c>
      <c r="B38" s="4" t="s">
        <v>395</v>
      </c>
      <c r="C38" s="1"/>
      <c r="D38" s="1"/>
      <c r="E38" s="1">
        <f t="shared" si="1"/>
        <v>5000</v>
      </c>
      <c r="F38" s="1">
        <v>5000</v>
      </c>
      <c r="G38" s="1">
        <f>'Chi NSNN.PL03'!G205</f>
        <v>0</v>
      </c>
      <c r="H38" s="1"/>
    </row>
    <row r="39" spans="1:8" s="28" customFormat="1" ht="24" customHeight="1" x14ac:dyDescent="0.25">
      <c r="A39" s="26">
        <v>19</v>
      </c>
      <c r="B39" s="4" t="s">
        <v>154</v>
      </c>
      <c r="C39" s="1">
        <v>1200</v>
      </c>
      <c r="D39" s="1">
        <v>1200</v>
      </c>
      <c r="E39" s="1">
        <f t="shared" si="1"/>
        <v>1200</v>
      </c>
      <c r="F39" s="1">
        <f>'Chi NSNN.PL03'!F206</f>
        <v>1200</v>
      </c>
      <c r="G39" s="1"/>
      <c r="H39" s="1"/>
    </row>
    <row r="40" spans="1:8" s="28" customFormat="1" ht="24" customHeight="1" x14ac:dyDescent="0.25">
      <c r="A40" s="26">
        <v>20</v>
      </c>
      <c r="B40" s="4" t="s">
        <v>155</v>
      </c>
      <c r="C40" s="1">
        <v>20000</v>
      </c>
      <c r="D40" s="1">
        <v>20000</v>
      </c>
      <c r="E40" s="1">
        <f t="shared" si="1"/>
        <v>50000</v>
      </c>
      <c r="F40" s="1">
        <f>'Chi NSNN.PL03'!F207</f>
        <v>50000</v>
      </c>
      <c r="G40" s="1"/>
      <c r="H40" s="1"/>
    </row>
    <row r="41" spans="1:8" s="28" customFormat="1" ht="24" customHeight="1" x14ac:dyDescent="0.25">
      <c r="A41" s="26">
        <v>21</v>
      </c>
      <c r="B41" s="4" t="s">
        <v>156</v>
      </c>
      <c r="C41" s="1">
        <v>170972</v>
      </c>
      <c r="D41" s="1">
        <v>20000</v>
      </c>
      <c r="E41" s="1">
        <f t="shared" si="1"/>
        <v>61720</v>
      </c>
      <c r="F41" s="1">
        <v>30000</v>
      </c>
      <c r="G41" s="1">
        <f>'Chi NSNN.PL03'!G208</f>
        <v>23237</v>
      </c>
      <c r="H41" s="1">
        <f>'Chi NSNN.PL03'!H208</f>
        <v>8483</v>
      </c>
    </row>
    <row r="42" spans="1:8" s="28" customFormat="1" ht="24" customHeight="1" x14ac:dyDescent="0.25">
      <c r="A42" s="26">
        <v>22</v>
      </c>
      <c r="B42" s="4" t="s">
        <v>298</v>
      </c>
      <c r="C42" s="1">
        <v>14300</v>
      </c>
      <c r="D42" s="1">
        <v>14300</v>
      </c>
      <c r="E42" s="1">
        <f t="shared" si="1"/>
        <v>14000</v>
      </c>
      <c r="F42" s="1">
        <f>'Chi NSNN.PL03'!F209</f>
        <v>14000</v>
      </c>
      <c r="G42" s="1"/>
      <c r="H42" s="1"/>
    </row>
    <row r="43" spans="1:8" s="28" customFormat="1" ht="24" customHeight="1" x14ac:dyDescent="0.25">
      <c r="A43" s="26">
        <v>23</v>
      </c>
      <c r="B43" s="4" t="s">
        <v>403</v>
      </c>
      <c r="C43" s="1">
        <v>23000</v>
      </c>
      <c r="D43" s="1">
        <v>23000</v>
      </c>
      <c r="E43" s="1">
        <f t="shared" si="1"/>
        <v>23000</v>
      </c>
      <c r="F43" s="1">
        <f>'Chi NSNN.PL03'!F210</f>
        <v>23000</v>
      </c>
      <c r="G43" s="1"/>
      <c r="H43" s="1"/>
    </row>
    <row r="44" spans="1:8" s="67" customFormat="1" ht="24" customHeight="1" x14ac:dyDescent="0.25">
      <c r="A44" s="26">
        <v>24</v>
      </c>
      <c r="B44" s="68" t="s">
        <v>435</v>
      </c>
      <c r="C44" s="72">
        <v>75270</v>
      </c>
      <c r="D44" s="72">
        <f>45450-1222+5850</f>
        <v>50078</v>
      </c>
      <c r="E44" s="1">
        <f t="shared" si="1"/>
        <v>48810</v>
      </c>
      <c r="F44" s="1">
        <f>'Chi NSNN.PL03'!F211</f>
        <v>48810</v>
      </c>
      <c r="G44" s="1"/>
      <c r="H44" s="1"/>
    </row>
    <row r="45" spans="1:8" s="42" customFormat="1" ht="24" customHeight="1" x14ac:dyDescent="0.2">
      <c r="A45" s="37" t="s">
        <v>160</v>
      </c>
      <c r="B45" s="25" t="s">
        <v>238</v>
      </c>
      <c r="C45" s="2">
        <v>213600</v>
      </c>
      <c r="D45" s="2">
        <v>213600</v>
      </c>
      <c r="E45" s="2">
        <f>F45+G45+H45</f>
        <v>260000</v>
      </c>
      <c r="F45" s="2">
        <f>'Chi NSNN.PL03'!F330</f>
        <v>260000</v>
      </c>
      <c r="G45" s="2"/>
      <c r="H45" s="2"/>
    </row>
    <row r="46" spans="1:8" s="42" customFormat="1" ht="24" customHeight="1" x14ac:dyDescent="0.2">
      <c r="A46" s="37" t="s">
        <v>237</v>
      </c>
      <c r="B46" s="25" t="s">
        <v>240</v>
      </c>
      <c r="C46" s="2">
        <v>331220</v>
      </c>
      <c r="D46" s="2">
        <v>235000</v>
      </c>
      <c r="E46" s="2">
        <f>'Chi NSNN.PL03'!E331</f>
        <v>239730</v>
      </c>
      <c r="F46" s="2">
        <f>'Chi NSNN.PL03'!F331</f>
        <v>137673</v>
      </c>
      <c r="G46" s="2">
        <f>'Chi NSNN.PL03'!G331</f>
        <v>78436</v>
      </c>
      <c r="H46" s="2">
        <f>'Chi NSNN.PL03'!H331</f>
        <v>23621</v>
      </c>
    </row>
    <row r="47" spans="1:8" s="42" customFormat="1" ht="24" customHeight="1" x14ac:dyDescent="0.2">
      <c r="A47" s="37" t="s">
        <v>239</v>
      </c>
      <c r="B47" s="25" t="s">
        <v>242</v>
      </c>
      <c r="C47" s="2">
        <v>1340</v>
      </c>
      <c r="D47" s="2">
        <v>1340</v>
      </c>
      <c r="E47" s="2">
        <f t="shared" ref="E47:E58" si="2">F47+G47+H47</f>
        <v>1340</v>
      </c>
      <c r="F47" s="2">
        <f>'Chi NSNN.PL03'!F332</f>
        <v>1340</v>
      </c>
      <c r="G47" s="2"/>
      <c r="H47" s="2"/>
    </row>
    <row r="48" spans="1:8" s="42" customFormat="1" ht="24" customHeight="1" x14ac:dyDescent="0.2">
      <c r="A48" s="37" t="s">
        <v>241</v>
      </c>
      <c r="B48" s="25" t="s">
        <v>300</v>
      </c>
      <c r="C48" s="2">
        <v>90000</v>
      </c>
      <c r="D48" s="2">
        <f>65000+25000</f>
        <v>90000</v>
      </c>
      <c r="E48" s="2">
        <f t="shared" si="2"/>
        <v>70000</v>
      </c>
      <c r="F48" s="2">
        <f>'Chi NSNN.PL03'!F333</f>
        <v>70000</v>
      </c>
      <c r="G48" s="2"/>
      <c r="H48" s="2"/>
    </row>
    <row r="49" spans="1:8" s="42" customFormat="1" ht="24" customHeight="1" x14ac:dyDescent="0.2">
      <c r="A49" s="37" t="s">
        <v>243</v>
      </c>
      <c r="B49" s="25" t="s">
        <v>301</v>
      </c>
      <c r="C49" s="2">
        <v>408860</v>
      </c>
      <c r="D49" s="2">
        <f>675583-347408-31000-11625-2500-5000-25000-5850-41000-6000-500-5000-14700</f>
        <v>180000</v>
      </c>
      <c r="E49" s="2">
        <f t="shared" si="2"/>
        <v>0</v>
      </c>
      <c r="F49" s="2"/>
      <c r="G49" s="2"/>
      <c r="H49" s="2"/>
    </row>
    <row r="50" spans="1:8" s="42" customFormat="1" ht="24" customHeight="1" x14ac:dyDescent="0.2">
      <c r="A50" s="37" t="s">
        <v>244</v>
      </c>
      <c r="B50" s="25" t="s">
        <v>248</v>
      </c>
      <c r="C50" s="2">
        <v>10000</v>
      </c>
      <c r="D50" s="2">
        <v>10000</v>
      </c>
      <c r="E50" s="2">
        <f t="shared" si="2"/>
        <v>10000</v>
      </c>
      <c r="F50" s="2">
        <f>'Chi NSNN.PL03'!F335</f>
        <v>10000</v>
      </c>
      <c r="G50" s="2"/>
      <c r="H50" s="2"/>
    </row>
    <row r="51" spans="1:8" s="42" customFormat="1" ht="24" customHeight="1" x14ac:dyDescent="0.2">
      <c r="A51" s="37" t="s">
        <v>245</v>
      </c>
      <c r="B51" s="25" t="s">
        <v>250</v>
      </c>
      <c r="C51" s="2">
        <v>11000</v>
      </c>
      <c r="D51" s="2">
        <v>11000</v>
      </c>
      <c r="E51" s="2">
        <f t="shared" si="2"/>
        <v>10000</v>
      </c>
      <c r="F51" s="2">
        <f>'Chi NSNN.PL03'!F336</f>
        <v>10000</v>
      </c>
      <c r="G51" s="2"/>
      <c r="H51" s="2"/>
    </row>
    <row r="52" spans="1:8" s="42" customFormat="1" ht="24" customHeight="1" x14ac:dyDescent="0.2">
      <c r="A52" s="37" t="s">
        <v>246</v>
      </c>
      <c r="B52" s="25" t="s">
        <v>302</v>
      </c>
      <c r="C52" s="2">
        <v>6850</v>
      </c>
      <c r="D52" s="2">
        <v>6850</v>
      </c>
      <c r="E52" s="2">
        <f t="shared" si="2"/>
        <v>7000</v>
      </c>
      <c r="F52" s="2">
        <f>'Chi NSNN.PL03'!F337</f>
        <v>7000</v>
      </c>
      <c r="G52" s="2"/>
      <c r="H52" s="2"/>
    </row>
    <row r="53" spans="1:8" s="42" customFormat="1" ht="24" customHeight="1" x14ac:dyDescent="0.2">
      <c r="A53" s="37" t="s">
        <v>247</v>
      </c>
      <c r="B53" s="25" t="s">
        <v>253</v>
      </c>
      <c r="C53" s="2">
        <v>25000</v>
      </c>
      <c r="D53" s="2">
        <v>25000</v>
      </c>
      <c r="E53" s="2">
        <f t="shared" si="2"/>
        <v>25000</v>
      </c>
      <c r="F53" s="2">
        <f>'Chi NSNN.PL03'!F338</f>
        <v>25000</v>
      </c>
      <c r="G53" s="2"/>
      <c r="H53" s="2"/>
    </row>
    <row r="54" spans="1:8" s="42" customFormat="1" ht="24" customHeight="1" x14ac:dyDescent="0.2">
      <c r="A54" s="37" t="s">
        <v>249</v>
      </c>
      <c r="B54" s="25" t="s">
        <v>254</v>
      </c>
      <c r="C54" s="2">
        <v>10000</v>
      </c>
      <c r="D54" s="2">
        <v>10000</v>
      </c>
      <c r="E54" s="2">
        <f t="shared" si="2"/>
        <v>10000</v>
      </c>
      <c r="F54" s="2">
        <f>'Chi NSNN.PL03'!F339</f>
        <v>10000</v>
      </c>
      <c r="G54" s="2"/>
      <c r="H54" s="2"/>
    </row>
    <row r="55" spans="1:8" s="42" customFormat="1" ht="24" customHeight="1" x14ac:dyDescent="0.2">
      <c r="A55" s="37" t="s">
        <v>251</v>
      </c>
      <c r="B55" s="25" t="s">
        <v>410</v>
      </c>
      <c r="C55" s="2"/>
      <c r="D55" s="2"/>
      <c r="E55" s="2">
        <f t="shared" si="2"/>
        <v>100000</v>
      </c>
      <c r="F55" s="2">
        <f>'Chi NSNN.PL03'!F340</f>
        <v>100000</v>
      </c>
      <c r="G55" s="2"/>
      <c r="H55" s="2"/>
    </row>
    <row r="56" spans="1:8" s="42" customFormat="1" ht="26.45" customHeight="1" x14ac:dyDescent="0.2">
      <c r="A56" s="37" t="s">
        <v>252</v>
      </c>
      <c r="B56" s="25" t="s">
        <v>436</v>
      </c>
      <c r="C56" s="2"/>
      <c r="D56" s="2"/>
      <c r="E56" s="2">
        <f t="shared" si="2"/>
        <v>23000</v>
      </c>
      <c r="F56" s="2">
        <v>13800</v>
      </c>
      <c r="G56" s="2">
        <v>4600</v>
      </c>
      <c r="H56" s="2">
        <v>4600</v>
      </c>
    </row>
    <row r="57" spans="1:8" s="42" customFormat="1" ht="33" customHeight="1" x14ac:dyDescent="0.2">
      <c r="A57" s="37" t="s">
        <v>437</v>
      </c>
      <c r="B57" s="25" t="s">
        <v>584</v>
      </c>
      <c r="C57" s="2"/>
      <c r="D57" s="2"/>
      <c r="E57" s="2">
        <f>'Chi NSNN.PL03'!E342</f>
        <v>146458</v>
      </c>
      <c r="F57" s="2">
        <f>'Chi NSNN.PL03'!F342</f>
        <v>146458</v>
      </c>
      <c r="G57" s="2"/>
      <c r="H57" s="2"/>
    </row>
    <row r="58" spans="1:8" s="42" customFormat="1" ht="24" customHeight="1" x14ac:dyDescent="0.2">
      <c r="A58" s="37" t="s">
        <v>447</v>
      </c>
      <c r="B58" s="25" t="s">
        <v>255</v>
      </c>
      <c r="C58" s="2">
        <v>232519</v>
      </c>
      <c r="D58" s="2">
        <v>232519</v>
      </c>
      <c r="E58" s="2">
        <f t="shared" si="2"/>
        <v>387525</v>
      </c>
      <c r="F58" s="2">
        <f>'Chi NSNN.PL03'!F343</f>
        <v>387525</v>
      </c>
      <c r="G58" s="2"/>
      <c r="H58" s="2"/>
    </row>
    <row r="59" spans="1:8" s="34" customFormat="1" ht="15.75" x14ac:dyDescent="0.25">
      <c r="A59" s="58"/>
      <c r="B59" s="62"/>
      <c r="C59" s="5"/>
      <c r="D59" s="5"/>
    </row>
    <row r="60" spans="1:8" ht="19.5" customHeight="1" x14ac:dyDescent="0.2">
      <c r="D60" s="240" t="s">
        <v>604</v>
      </c>
      <c r="E60" s="240"/>
      <c r="F60" s="240"/>
      <c r="G60" s="240"/>
      <c r="H60" s="240"/>
    </row>
  </sheetData>
  <mergeCells count="15">
    <mergeCell ref="G7:G8"/>
    <mergeCell ref="D60:H60"/>
    <mergeCell ref="A1:H1"/>
    <mergeCell ref="A2:H2"/>
    <mergeCell ref="A3:H3"/>
    <mergeCell ref="F5:H5"/>
    <mergeCell ref="E6:H6"/>
    <mergeCell ref="H7:H8"/>
    <mergeCell ref="A6:A8"/>
    <mergeCell ref="B6:B8"/>
    <mergeCell ref="C6:D6"/>
    <mergeCell ref="C7:C8"/>
    <mergeCell ref="D7:D8"/>
    <mergeCell ref="E7:E8"/>
    <mergeCell ref="F7:F8"/>
  </mergeCells>
  <pageMargins left="0.7" right="0.7" top="0.8" bottom="0.72" header="0.3" footer="0.3"/>
  <pageSetup paperSize="9" orientation="landscape" r:id="rId1"/>
  <headerFooter>
    <oddFooter>&amp;C&amp;P/3 (PL02)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5"/>
  <sheetViews>
    <sheetView zoomScaleNormal="100" workbookViewId="0">
      <selection activeCell="D7" sqref="D7"/>
    </sheetView>
  </sheetViews>
  <sheetFormatPr defaultColWidth="9" defaultRowHeight="12.75" x14ac:dyDescent="0.2"/>
  <cols>
    <col min="1" max="1" width="5.375" style="59" customWidth="1"/>
    <col min="2" max="2" width="55.75" style="21" customWidth="1"/>
    <col min="3" max="4" width="11.625" style="21" customWidth="1"/>
    <col min="5" max="5" width="12.25" style="21" customWidth="1"/>
    <col min="6" max="6" width="11.75" style="21" customWidth="1"/>
    <col min="7" max="7" width="12.125" style="21" customWidth="1"/>
    <col min="8" max="8" width="11.75" style="21" customWidth="1"/>
    <col min="9" max="16384" width="9" style="21"/>
  </cols>
  <sheetData>
    <row r="1" spans="1:8" ht="19.5" customHeight="1" x14ac:dyDescent="0.3">
      <c r="A1" s="241" t="s">
        <v>278</v>
      </c>
      <c r="B1" s="241"/>
      <c r="C1" s="241"/>
      <c r="D1" s="241"/>
      <c r="E1" s="241"/>
      <c r="F1" s="241"/>
      <c r="G1" s="241"/>
      <c r="H1" s="241"/>
    </row>
    <row r="2" spans="1:8" ht="17.25" customHeight="1" x14ac:dyDescent="0.3">
      <c r="A2" s="242" t="s">
        <v>413</v>
      </c>
      <c r="B2" s="242"/>
      <c r="C2" s="242"/>
      <c r="D2" s="242"/>
      <c r="E2" s="242"/>
      <c r="F2" s="242"/>
      <c r="G2" s="242"/>
      <c r="H2" s="242"/>
    </row>
    <row r="3" spans="1:8" ht="17.25" customHeight="1" x14ac:dyDescent="0.2">
      <c r="A3" s="237" t="s">
        <v>796</v>
      </c>
      <c r="B3" s="237"/>
      <c r="C3" s="237"/>
      <c r="D3" s="237"/>
      <c r="E3" s="237"/>
      <c r="F3" s="237"/>
      <c r="G3" s="237"/>
      <c r="H3" s="237"/>
    </row>
    <row r="4" spans="1:8" ht="17.25" customHeight="1" x14ac:dyDescent="0.2">
      <c r="A4" s="78"/>
      <c r="B4" s="78"/>
      <c r="C4" s="78"/>
      <c r="D4" s="78"/>
      <c r="F4" s="66"/>
      <c r="G4" s="66"/>
      <c r="H4" s="66"/>
    </row>
    <row r="5" spans="1:8" ht="18" customHeight="1" x14ac:dyDescent="0.25">
      <c r="A5" s="35"/>
      <c r="B5" s="36"/>
      <c r="F5" s="249" t="s">
        <v>469</v>
      </c>
      <c r="G5" s="249"/>
      <c r="H5" s="249"/>
    </row>
    <row r="6" spans="1:8" s="167" customFormat="1" ht="22.5" customHeight="1" x14ac:dyDescent="0.2">
      <c r="A6" s="238" t="s">
        <v>44</v>
      </c>
      <c r="B6" s="238" t="s">
        <v>45</v>
      </c>
      <c r="C6" s="244" t="s">
        <v>304</v>
      </c>
      <c r="D6" s="246"/>
      <c r="E6" s="244" t="s">
        <v>362</v>
      </c>
      <c r="F6" s="245"/>
      <c r="G6" s="245"/>
      <c r="H6" s="246"/>
    </row>
    <row r="7" spans="1:8" s="167" customFormat="1" ht="27.6" customHeight="1" x14ac:dyDescent="0.2">
      <c r="A7" s="239"/>
      <c r="B7" s="239"/>
      <c r="C7" s="125" t="s">
        <v>47</v>
      </c>
      <c r="D7" s="125" t="s">
        <v>48</v>
      </c>
      <c r="E7" s="125" t="s">
        <v>47</v>
      </c>
      <c r="F7" s="125" t="s">
        <v>48</v>
      </c>
      <c r="G7" s="125" t="s">
        <v>49</v>
      </c>
      <c r="H7" s="125" t="s">
        <v>50</v>
      </c>
    </row>
    <row r="8" spans="1:8" ht="25.5" customHeight="1" x14ac:dyDescent="0.2">
      <c r="A8" s="79"/>
      <c r="B8" s="60" t="s">
        <v>51</v>
      </c>
      <c r="C8" s="61">
        <v>13414427</v>
      </c>
      <c r="D8" s="61">
        <v>7857477</v>
      </c>
      <c r="E8" s="61">
        <f>E9+E46+E330+E331+E332+E333+E334+E335+E336+E337+E338+E339+E340+E341+E342+E343</f>
        <v>12965177.274909278</v>
      </c>
      <c r="F8" s="61">
        <f>F9+F46+F330+F331+F332+F333+F334+F335+F336+F337+F338+F339+F340+F341+F342+F343</f>
        <v>6642274.2749092784</v>
      </c>
      <c r="G8" s="61">
        <f>G9+G46+G330+G331+G332+G333+G334+G335+G336+G337+G338+G339+G340+G341+G343</f>
        <v>4779951</v>
      </c>
      <c r="H8" s="61">
        <f>H9+H46+H330+H331+H332+H333+H334+H335+H336+H337+H338+H339+H340+H341+H343</f>
        <v>1542952</v>
      </c>
    </row>
    <row r="9" spans="1:8" s="28" customFormat="1" ht="26.25" customHeight="1" x14ac:dyDescent="0.2">
      <c r="A9" s="37" t="s">
        <v>52</v>
      </c>
      <c r="B9" s="25" t="s">
        <v>53</v>
      </c>
      <c r="C9" s="2">
        <v>2888700</v>
      </c>
      <c r="D9" s="2">
        <v>2362476</v>
      </c>
      <c r="E9" s="2">
        <f>E10+E19+E44+E45</f>
        <v>2791713</v>
      </c>
      <c r="F9" s="2">
        <f>F10+F19+F44+F45</f>
        <v>1933482</v>
      </c>
      <c r="G9" s="2">
        <f>G10+G19+G44+G45</f>
        <v>519909</v>
      </c>
      <c r="H9" s="2">
        <f>H10+H19+H44+H45</f>
        <v>338322</v>
      </c>
    </row>
    <row r="10" spans="1:8" s="42" customFormat="1" ht="24.95" customHeight="1" x14ac:dyDescent="0.2">
      <c r="A10" s="38">
        <v>1</v>
      </c>
      <c r="B10" s="39" t="s">
        <v>54</v>
      </c>
      <c r="C10" s="22">
        <v>1776400</v>
      </c>
      <c r="D10" s="22">
        <v>1776400</v>
      </c>
      <c r="E10" s="2">
        <f>E11+E17+E18</f>
        <v>1684107</v>
      </c>
      <c r="F10" s="2">
        <f>F11+F17+F18</f>
        <v>1684107</v>
      </c>
      <c r="G10" s="22"/>
      <c r="H10" s="2"/>
    </row>
    <row r="11" spans="1:8" s="28" customFormat="1" ht="24.95" customHeight="1" x14ac:dyDescent="0.25">
      <c r="A11" s="26" t="s">
        <v>55</v>
      </c>
      <c r="B11" s="4" t="s">
        <v>56</v>
      </c>
      <c r="C11" s="1">
        <v>541900</v>
      </c>
      <c r="D11" s="1">
        <v>541900</v>
      </c>
      <c r="E11" s="1">
        <v>596090</v>
      </c>
      <c r="F11" s="1">
        <v>596090</v>
      </c>
      <c r="G11" s="1"/>
      <c r="H11" s="1"/>
    </row>
    <row r="12" spans="1:8" s="28" customFormat="1" ht="24.95" customHeight="1" x14ac:dyDescent="0.25">
      <c r="A12" s="26"/>
      <c r="B12" s="43" t="s">
        <v>571</v>
      </c>
      <c r="C12" s="24"/>
      <c r="D12" s="24"/>
      <c r="E12" s="24"/>
      <c r="F12" s="24">
        <v>28550</v>
      </c>
      <c r="G12" s="1"/>
      <c r="H12" s="1"/>
    </row>
    <row r="13" spans="1:8" s="28" customFormat="1" ht="24.95" customHeight="1" x14ac:dyDescent="0.25">
      <c r="A13" s="26"/>
      <c r="B13" s="43" t="s">
        <v>572</v>
      </c>
      <c r="C13" s="24"/>
      <c r="D13" s="24"/>
      <c r="E13" s="24"/>
      <c r="F13" s="24">
        <f>F11-F12</f>
        <v>567540</v>
      </c>
      <c r="G13" s="1"/>
      <c r="H13" s="1"/>
    </row>
    <row r="14" spans="1:8" s="41" customFormat="1" ht="24.95" customHeight="1" x14ac:dyDescent="0.25">
      <c r="A14" s="40"/>
      <c r="B14" s="33" t="s">
        <v>57</v>
      </c>
      <c r="C14" s="23"/>
      <c r="D14" s="23"/>
      <c r="E14" s="23"/>
      <c r="F14" s="23"/>
      <c r="G14" s="23"/>
      <c r="H14" s="23"/>
    </row>
    <row r="15" spans="1:8" s="28" customFormat="1" ht="24.95" customHeight="1" x14ac:dyDescent="0.25">
      <c r="A15" s="26"/>
      <c r="B15" s="4" t="s">
        <v>311</v>
      </c>
      <c r="C15" s="1">
        <v>0</v>
      </c>
      <c r="D15" s="1">
        <v>0</v>
      </c>
      <c r="E15" s="1"/>
      <c r="F15" s="1"/>
      <c r="G15" s="1"/>
      <c r="H15" s="1"/>
    </row>
    <row r="16" spans="1:8" s="28" customFormat="1" ht="27.6" customHeight="1" x14ac:dyDescent="0.25">
      <c r="A16" s="26"/>
      <c r="B16" s="29" t="s">
        <v>442</v>
      </c>
      <c r="C16" s="1">
        <v>64500</v>
      </c>
      <c r="D16" s="1">
        <v>64500</v>
      </c>
      <c r="E16" s="1"/>
      <c r="F16" s="1"/>
      <c r="G16" s="1"/>
      <c r="H16" s="1"/>
    </row>
    <row r="17" spans="1:8" s="28" customFormat="1" ht="24.95" customHeight="1" x14ac:dyDescent="0.25">
      <c r="A17" s="26" t="s">
        <v>58</v>
      </c>
      <c r="B17" s="4" t="s">
        <v>59</v>
      </c>
      <c r="C17" s="1">
        <v>348000</v>
      </c>
      <c r="D17" s="1">
        <v>348000</v>
      </c>
      <c r="E17" s="1">
        <v>443126</v>
      </c>
      <c r="F17" s="1">
        <v>443126</v>
      </c>
      <c r="G17" s="1"/>
      <c r="H17" s="1"/>
    </row>
    <row r="18" spans="1:8" s="28" customFormat="1" ht="24.95" customHeight="1" x14ac:dyDescent="0.25">
      <c r="A18" s="26" t="s">
        <v>60</v>
      </c>
      <c r="B18" s="4" t="s">
        <v>61</v>
      </c>
      <c r="C18" s="1">
        <v>1086374</v>
      </c>
      <c r="D18" s="1">
        <v>1086374</v>
      </c>
      <c r="E18" s="1">
        <v>644891</v>
      </c>
      <c r="F18" s="1">
        <v>644891</v>
      </c>
      <c r="G18" s="1"/>
      <c r="H18" s="1"/>
    </row>
    <row r="19" spans="1:8" s="42" customFormat="1" ht="24.95" customHeight="1" x14ac:dyDescent="0.2">
      <c r="A19" s="37">
        <v>2</v>
      </c>
      <c r="B19" s="25" t="s">
        <v>62</v>
      </c>
      <c r="C19" s="2">
        <v>764432</v>
      </c>
      <c r="D19" s="2">
        <v>276236</v>
      </c>
      <c r="E19" s="2">
        <f>F19+G19+H19</f>
        <v>1107606</v>
      </c>
      <c r="F19" s="2">
        <f>F20+F21+F22</f>
        <v>249375</v>
      </c>
      <c r="G19" s="2">
        <f t="shared" ref="G19:H19" si="0">G20+G21+G22</f>
        <v>519909</v>
      </c>
      <c r="H19" s="2">
        <f t="shared" si="0"/>
        <v>338322</v>
      </c>
    </row>
    <row r="20" spans="1:8" s="28" customFormat="1" ht="24.95" customHeight="1" x14ac:dyDescent="0.25">
      <c r="A20" s="26" t="s">
        <v>55</v>
      </c>
      <c r="B20" s="4" t="s">
        <v>444</v>
      </c>
      <c r="C20" s="1">
        <v>7600</v>
      </c>
      <c r="D20" s="1">
        <v>6000</v>
      </c>
      <c r="E20" s="1">
        <f>G20+H20</f>
        <v>100606</v>
      </c>
      <c r="F20" s="1"/>
      <c r="G20" s="1">
        <v>83315</v>
      </c>
      <c r="H20" s="1">
        <v>17291</v>
      </c>
    </row>
    <row r="21" spans="1:8" s="28" customFormat="1" ht="24.95" customHeight="1" x14ac:dyDescent="0.25">
      <c r="A21" s="26" t="s">
        <v>58</v>
      </c>
      <c r="B21" s="4" t="s">
        <v>63</v>
      </c>
      <c r="C21" s="1">
        <v>6200</v>
      </c>
      <c r="D21" s="1">
        <v>6200</v>
      </c>
      <c r="E21" s="1">
        <v>7000</v>
      </c>
      <c r="F21" s="1">
        <v>7000</v>
      </c>
      <c r="G21" s="1"/>
      <c r="H21" s="1"/>
    </row>
    <row r="22" spans="1:8" s="28" customFormat="1" ht="24.95" customHeight="1" x14ac:dyDescent="0.25">
      <c r="A22" s="26" t="s">
        <v>60</v>
      </c>
      <c r="B22" s="4" t="s">
        <v>64</v>
      </c>
      <c r="C22" s="1">
        <v>750000</v>
      </c>
      <c r="D22" s="1">
        <v>269236</v>
      </c>
      <c r="E22" s="1">
        <v>1000000</v>
      </c>
      <c r="F22" s="1">
        <v>242375</v>
      </c>
      <c r="G22" s="1">
        <v>436594</v>
      </c>
      <c r="H22" s="1">
        <v>321031</v>
      </c>
    </row>
    <row r="23" spans="1:8" s="41" customFormat="1" ht="24.95" customHeight="1" x14ac:dyDescent="0.25">
      <c r="A23" s="40"/>
      <c r="B23" s="33" t="s">
        <v>65</v>
      </c>
      <c r="C23" s="24"/>
      <c r="D23" s="24"/>
      <c r="E23" s="24"/>
      <c r="F23" s="24"/>
      <c r="G23" s="24"/>
      <c r="H23" s="24"/>
    </row>
    <row r="24" spans="1:8" s="41" customFormat="1" ht="24.95" customHeight="1" x14ac:dyDescent="0.25">
      <c r="A24" s="40"/>
      <c r="B24" s="33" t="s">
        <v>440</v>
      </c>
      <c r="C24" s="24"/>
      <c r="D24" s="24"/>
      <c r="E24" s="24"/>
      <c r="F24" s="24"/>
      <c r="G24" s="24"/>
      <c r="H24" s="24"/>
    </row>
    <row r="25" spans="1:8" s="28" customFormat="1" ht="24.95" customHeight="1" x14ac:dyDescent="0.25">
      <c r="A25" s="26"/>
      <c r="B25" s="4" t="s">
        <v>439</v>
      </c>
      <c r="C25" s="1">
        <v>96145</v>
      </c>
      <c r="D25" s="1">
        <v>96145</v>
      </c>
      <c r="E25" s="1">
        <f>F25+G25</f>
        <v>146135</v>
      </c>
      <c r="F25" s="1">
        <v>71500</v>
      </c>
      <c r="G25" s="1">
        <v>74635</v>
      </c>
      <c r="H25" s="1"/>
    </row>
    <row r="26" spans="1:8" s="28" customFormat="1" ht="24.95" customHeight="1" x14ac:dyDescent="0.25">
      <c r="A26" s="26"/>
      <c r="B26" s="4" t="s">
        <v>66</v>
      </c>
      <c r="C26" s="1">
        <v>653855</v>
      </c>
      <c r="D26" s="1">
        <v>173091</v>
      </c>
      <c r="E26" s="1">
        <f>E22-E25</f>
        <v>853865</v>
      </c>
      <c r="F26" s="1">
        <f t="shared" ref="F26:H26" si="1">F22-F25</f>
        <v>170875</v>
      </c>
      <c r="G26" s="1">
        <f t="shared" si="1"/>
        <v>361959</v>
      </c>
      <c r="H26" s="1">
        <f t="shared" si="1"/>
        <v>321031</v>
      </c>
    </row>
    <row r="27" spans="1:8" s="28" customFormat="1" ht="24.95" customHeight="1" x14ac:dyDescent="0.25">
      <c r="A27" s="26"/>
      <c r="B27" s="4" t="s">
        <v>450</v>
      </c>
      <c r="C27" s="1">
        <v>256905</v>
      </c>
      <c r="D27" s="1">
        <v>34091</v>
      </c>
      <c r="E27" s="1">
        <f>F27+G27+H27</f>
        <v>119565</v>
      </c>
      <c r="F27" s="1">
        <v>60299</v>
      </c>
      <c r="G27" s="1">
        <v>59266</v>
      </c>
      <c r="H27" s="1"/>
    </row>
    <row r="28" spans="1:8" s="28" customFormat="1" ht="24.95" customHeight="1" x14ac:dyDescent="0.25">
      <c r="A28" s="26"/>
      <c r="B28" s="4" t="s">
        <v>67</v>
      </c>
      <c r="C28" s="1">
        <v>53000</v>
      </c>
      <c r="D28" s="1">
        <v>53000</v>
      </c>
      <c r="E28" s="1">
        <f>F28+G28+H28</f>
        <v>24000</v>
      </c>
      <c r="F28" s="1">
        <v>24000</v>
      </c>
      <c r="G28" s="1"/>
      <c r="H28" s="1"/>
    </row>
    <row r="29" spans="1:8" s="28" customFormat="1" ht="24.95" customHeight="1" x14ac:dyDescent="0.25">
      <c r="A29" s="26"/>
      <c r="B29" s="4" t="s">
        <v>68</v>
      </c>
      <c r="C29" s="1">
        <v>45000</v>
      </c>
      <c r="D29" s="1">
        <v>45000</v>
      </c>
      <c r="E29" s="1"/>
      <c r="F29" s="1"/>
      <c r="G29" s="1"/>
      <c r="H29" s="1"/>
    </row>
    <row r="30" spans="1:8" s="28" customFormat="1" ht="24.95" customHeight="1" x14ac:dyDescent="0.25">
      <c r="A30" s="26"/>
      <c r="B30" s="4" t="s">
        <v>313</v>
      </c>
      <c r="C30" s="1">
        <v>500</v>
      </c>
      <c r="D30" s="1">
        <v>500</v>
      </c>
      <c r="E30" s="1"/>
      <c r="F30" s="1"/>
      <c r="G30" s="1"/>
      <c r="H30" s="1"/>
    </row>
    <row r="31" spans="1:8" s="28" customFormat="1" ht="24.95" customHeight="1" x14ac:dyDescent="0.25">
      <c r="A31" s="26"/>
      <c r="B31" s="4" t="s">
        <v>451</v>
      </c>
      <c r="C31" s="1"/>
      <c r="D31" s="1"/>
      <c r="E31" s="1">
        <f>F31+G31+H31</f>
        <v>71700</v>
      </c>
      <c r="F31" s="1">
        <v>15000</v>
      </c>
      <c r="G31" s="1">
        <v>56700</v>
      </c>
      <c r="H31" s="1"/>
    </row>
    <row r="32" spans="1:8" s="28" customFormat="1" ht="24.95" customHeight="1" x14ac:dyDescent="0.25">
      <c r="A32" s="26"/>
      <c r="B32" s="4" t="s">
        <v>314</v>
      </c>
      <c r="C32" s="1">
        <v>9600</v>
      </c>
      <c r="D32" s="1">
        <v>9600</v>
      </c>
      <c r="E32" s="1"/>
      <c r="F32" s="1"/>
      <c r="G32" s="1"/>
      <c r="H32" s="1"/>
    </row>
    <row r="33" spans="1:8" s="28" customFormat="1" ht="24.95" customHeight="1" x14ac:dyDescent="0.25">
      <c r="A33" s="26"/>
      <c r="B33" s="4" t="s">
        <v>69</v>
      </c>
      <c r="C33" s="1">
        <v>265650</v>
      </c>
      <c r="D33" s="1">
        <v>30900</v>
      </c>
      <c r="E33" s="1">
        <f>F33+G33+H33</f>
        <v>638600</v>
      </c>
      <c r="F33" s="1">
        <v>71576</v>
      </c>
      <c r="G33" s="1">
        <v>245993</v>
      </c>
      <c r="H33" s="1">
        <v>321031</v>
      </c>
    </row>
    <row r="34" spans="1:8" s="28" customFormat="1" ht="24.95" customHeight="1" x14ac:dyDescent="0.25">
      <c r="A34" s="26"/>
      <c r="B34" s="43" t="s">
        <v>70</v>
      </c>
      <c r="C34" s="1">
        <v>653855</v>
      </c>
      <c r="D34" s="1">
        <v>173091</v>
      </c>
      <c r="E34" s="1">
        <v>853865</v>
      </c>
      <c r="F34" s="1">
        <v>170875</v>
      </c>
      <c r="G34" s="1">
        <v>361959</v>
      </c>
      <c r="H34" s="1">
        <v>321031</v>
      </c>
    </row>
    <row r="35" spans="1:8" s="28" customFormat="1" ht="24.95" customHeight="1" x14ac:dyDescent="0.25">
      <c r="A35" s="26"/>
      <c r="B35" s="4" t="s">
        <v>71</v>
      </c>
      <c r="C35" s="1">
        <v>480764</v>
      </c>
      <c r="D35" s="1"/>
      <c r="E35" s="1">
        <f>F35+G35+H35</f>
        <v>682990</v>
      </c>
      <c r="F35" s="1"/>
      <c r="G35" s="1">
        <v>361959</v>
      </c>
      <c r="H35" s="1">
        <v>321031</v>
      </c>
    </row>
    <row r="36" spans="1:8" s="28" customFormat="1" ht="24.95" customHeight="1" x14ac:dyDescent="0.25">
      <c r="A36" s="26"/>
      <c r="B36" s="4" t="s">
        <v>452</v>
      </c>
      <c r="C36" s="1"/>
      <c r="D36" s="1"/>
      <c r="E36" s="1">
        <f t="shared" ref="E36:E43" si="2">F36+G36+H36</f>
        <v>30000</v>
      </c>
      <c r="F36" s="1">
        <v>30000</v>
      </c>
      <c r="G36" s="1"/>
      <c r="H36" s="1"/>
    </row>
    <row r="37" spans="1:8" s="28" customFormat="1" ht="24.95" customHeight="1" x14ac:dyDescent="0.25">
      <c r="A37" s="26"/>
      <c r="B37" s="4" t="s">
        <v>315</v>
      </c>
      <c r="C37" s="1">
        <v>53000</v>
      </c>
      <c r="D37" s="1">
        <v>53000</v>
      </c>
      <c r="E37" s="1">
        <f t="shared" si="2"/>
        <v>24000</v>
      </c>
      <c r="F37" s="1">
        <v>24000</v>
      </c>
      <c r="G37" s="1"/>
      <c r="H37" s="1"/>
    </row>
    <row r="38" spans="1:8" s="28" customFormat="1" ht="36.75" customHeight="1" x14ac:dyDescent="0.25">
      <c r="A38" s="26"/>
      <c r="B38" s="4" t="s">
        <v>454</v>
      </c>
      <c r="C38" s="1">
        <v>53000</v>
      </c>
      <c r="D38" s="1">
        <f>41000+5000+7000</f>
        <v>53000</v>
      </c>
      <c r="E38" s="1">
        <f t="shared" si="2"/>
        <v>30000</v>
      </c>
      <c r="F38" s="1">
        <v>30000</v>
      </c>
      <c r="G38" s="1"/>
      <c r="H38" s="1"/>
    </row>
    <row r="39" spans="1:8" s="28" customFormat="1" ht="24.95" customHeight="1" x14ac:dyDescent="0.25">
      <c r="A39" s="26"/>
      <c r="B39" s="4" t="s">
        <v>455</v>
      </c>
      <c r="C39" s="1"/>
      <c r="D39" s="1"/>
      <c r="E39" s="1">
        <f t="shared" si="2"/>
        <v>30000</v>
      </c>
      <c r="F39" s="1">
        <v>30000</v>
      </c>
      <c r="G39" s="1"/>
      <c r="H39" s="1"/>
    </row>
    <row r="40" spans="1:8" s="28" customFormat="1" ht="24.95" customHeight="1" x14ac:dyDescent="0.25">
      <c r="A40" s="26"/>
      <c r="B40" s="4" t="s">
        <v>316</v>
      </c>
      <c r="C40" s="1">
        <v>4800</v>
      </c>
      <c r="D40" s="1">
        <v>4800</v>
      </c>
      <c r="E40" s="1"/>
      <c r="F40" s="1"/>
      <c r="G40" s="1"/>
      <c r="H40" s="1"/>
    </row>
    <row r="41" spans="1:8" s="28" customFormat="1" ht="36.75" customHeight="1" x14ac:dyDescent="0.25">
      <c r="A41" s="26"/>
      <c r="B41" s="4" t="s">
        <v>443</v>
      </c>
      <c r="C41" s="1">
        <v>62291</v>
      </c>
      <c r="D41" s="1">
        <v>62291</v>
      </c>
      <c r="E41" s="1"/>
      <c r="F41" s="1"/>
      <c r="G41" s="1"/>
      <c r="H41" s="1"/>
    </row>
    <row r="42" spans="1:8" s="28" customFormat="1" ht="24.95" customHeight="1" x14ac:dyDescent="0.25">
      <c r="A42" s="26"/>
      <c r="B42" s="4" t="s">
        <v>453</v>
      </c>
      <c r="C42" s="1"/>
      <c r="D42" s="1"/>
      <c r="E42" s="1">
        <f t="shared" si="2"/>
        <v>17087</v>
      </c>
      <c r="F42" s="1">
        <v>17087</v>
      </c>
      <c r="G42" s="1"/>
      <c r="H42" s="1"/>
    </row>
    <row r="43" spans="1:8" s="28" customFormat="1" ht="24.95" customHeight="1" x14ac:dyDescent="0.25">
      <c r="A43" s="26"/>
      <c r="B43" s="4" t="s">
        <v>456</v>
      </c>
      <c r="C43" s="1"/>
      <c r="D43" s="1"/>
      <c r="E43" s="1">
        <f t="shared" si="2"/>
        <v>39788</v>
      </c>
      <c r="F43" s="1">
        <f>F34-F36-F37-F38-F39-F42</f>
        <v>39788</v>
      </c>
      <c r="G43" s="1"/>
      <c r="H43" s="1"/>
    </row>
    <row r="44" spans="1:8" s="42" customFormat="1" ht="24.95" customHeight="1" x14ac:dyDescent="0.2">
      <c r="A44" s="37">
        <v>4</v>
      </c>
      <c r="B44" s="25" t="s">
        <v>72</v>
      </c>
      <c r="C44" s="2">
        <v>90000</v>
      </c>
      <c r="D44" s="2"/>
      <c r="E44" s="2"/>
      <c r="F44" s="2"/>
      <c r="G44" s="2"/>
      <c r="H44" s="2"/>
    </row>
    <row r="45" spans="1:8" s="42" customFormat="1" ht="24.95" customHeight="1" x14ac:dyDescent="0.2">
      <c r="A45" s="37">
        <v>5</v>
      </c>
      <c r="B45" s="25" t="s">
        <v>445</v>
      </c>
      <c r="C45" s="2">
        <v>250500</v>
      </c>
      <c r="D45" s="2">
        <v>250500</v>
      </c>
      <c r="E45" s="2"/>
      <c r="F45" s="2"/>
      <c r="G45" s="2"/>
      <c r="H45" s="2"/>
    </row>
    <row r="46" spans="1:8" s="42" customFormat="1" ht="24.95" customHeight="1" x14ac:dyDescent="0.2">
      <c r="A46" s="37" t="s">
        <v>73</v>
      </c>
      <c r="B46" s="25" t="s">
        <v>74</v>
      </c>
      <c r="C46" s="2">
        <v>7448884</v>
      </c>
      <c r="D46" s="2">
        <v>2982658</v>
      </c>
      <c r="E46" s="2">
        <f>F46+G46+H46</f>
        <v>8883411.2749092784</v>
      </c>
      <c r="F46" s="2">
        <f>F47+F83+F104+F110+F122+F128+F130+F133+F152+F170+F175+F194+F200+F201+F202+F203+F204+F206+F207+F208+F209+F210+F211+F205</f>
        <v>3529996.2749092788</v>
      </c>
      <c r="G46" s="2">
        <f>G47+G83+G104+G110+G122+G128+G130+G133+G152+G170+G175+G194+G200+G201+G202+G203+G204+G206+G207+G208+G209+G210+G211+G205</f>
        <v>4177006</v>
      </c>
      <c r="H46" s="2">
        <f>H47+H83+H104+H110+H122+H128+H130+H133+H152+H170+H175+H194+H200+H201+H202+H203+H204+H206+H207+H208+H209+H210+H211</f>
        <v>1176409</v>
      </c>
    </row>
    <row r="47" spans="1:8" s="42" customFormat="1" ht="25.9" customHeight="1" x14ac:dyDescent="0.2">
      <c r="A47" s="37">
        <v>1</v>
      </c>
      <c r="B47" s="25" t="s">
        <v>364</v>
      </c>
      <c r="C47" s="2">
        <v>1594556</v>
      </c>
      <c r="D47" s="2">
        <f>SUM(D49:D82)-D69-D70</f>
        <v>677353</v>
      </c>
      <c r="E47" s="2">
        <f>F47+G47+H47</f>
        <v>1933515.414909279</v>
      </c>
      <c r="F47" s="2">
        <f>SUM(F49:F82)-F68-F54</f>
        <v>722966.41490927897</v>
      </c>
      <c r="G47" s="2">
        <f>296682+3000</f>
        <v>299682</v>
      </c>
      <c r="H47" s="2">
        <v>910867</v>
      </c>
    </row>
    <row r="48" spans="1:8" s="42" customFormat="1" ht="25.9" customHeight="1" x14ac:dyDescent="0.2">
      <c r="A48" s="37"/>
      <c r="B48" s="25" t="s">
        <v>57</v>
      </c>
      <c r="C48" s="2"/>
      <c r="D48" s="2"/>
      <c r="E48" s="2"/>
      <c r="F48" s="2"/>
      <c r="G48" s="2"/>
      <c r="H48" s="2"/>
    </row>
    <row r="49" spans="1:8" s="28" customFormat="1" ht="29.25" customHeight="1" x14ac:dyDescent="0.25">
      <c r="A49" s="26"/>
      <c r="B49" s="4" t="s">
        <v>137</v>
      </c>
      <c r="C49" s="1"/>
      <c r="D49" s="1">
        <v>260447</v>
      </c>
      <c r="E49" s="1"/>
      <c r="F49" s="1">
        <f>'PL04'!L7</f>
        <v>259427.41490927897</v>
      </c>
      <c r="G49" s="1"/>
      <c r="H49" s="1"/>
    </row>
    <row r="50" spans="1:8" s="71" customFormat="1" ht="28.5" customHeight="1" x14ac:dyDescent="0.25">
      <c r="A50" s="70"/>
      <c r="B50" s="4" t="s">
        <v>396</v>
      </c>
      <c r="C50" s="1"/>
      <c r="D50" s="1">
        <v>20000</v>
      </c>
      <c r="E50" s="1"/>
      <c r="F50" s="1">
        <v>20000</v>
      </c>
      <c r="G50" s="69"/>
      <c r="H50" s="69"/>
    </row>
    <row r="51" spans="1:8" s="71" customFormat="1" ht="28.5" customHeight="1" x14ac:dyDescent="0.25">
      <c r="A51" s="70"/>
      <c r="B51" s="4" t="s">
        <v>397</v>
      </c>
      <c r="C51" s="1"/>
      <c r="D51" s="1"/>
      <c r="E51" s="1"/>
      <c r="F51" s="1">
        <v>10000</v>
      </c>
      <c r="G51" s="69"/>
      <c r="H51" s="69"/>
    </row>
    <row r="52" spans="1:8" s="28" customFormat="1" ht="45" x14ac:dyDescent="0.25">
      <c r="A52" s="26"/>
      <c r="B52" s="29" t="s">
        <v>431</v>
      </c>
      <c r="C52" s="1"/>
      <c r="D52" s="1">
        <v>100000</v>
      </c>
      <c r="E52" s="1"/>
      <c r="F52" s="1">
        <f>170000-6000-17000</f>
        <v>147000</v>
      </c>
      <c r="G52" s="1"/>
      <c r="H52" s="1"/>
    </row>
    <row r="53" spans="1:8" s="28" customFormat="1" ht="30" customHeight="1" x14ac:dyDescent="0.25">
      <c r="A53" s="26"/>
      <c r="B53" s="4" t="s">
        <v>138</v>
      </c>
      <c r="C53" s="1"/>
      <c r="D53" s="1">
        <v>5000</v>
      </c>
      <c r="E53" s="1"/>
      <c r="F53" s="1">
        <v>6000</v>
      </c>
      <c r="G53" s="1"/>
      <c r="H53" s="1"/>
    </row>
    <row r="54" spans="1:8" s="28" customFormat="1" ht="24.95" customHeight="1" x14ac:dyDescent="0.25">
      <c r="A54" s="26"/>
      <c r="B54" s="4" t="s">
        <v>379</v>
      </c>
      <c r="C54" s="1"/>
      <c r="D54" s="1">
        <f>SUM(D55:D61)</f>
        <v>13324</v>
      </c>
      <c r="E54" s="1"/>
      <c r="F54" s="1">
        <f>SUM(F55:F61)</f>
        <v>17102</v>
      </c>
      <c r="G54" s="1"/>
      <c r="H54" s="1"/>
    </row>
    <row r="55" spans="1:8" s="28" customFormat="1" ht="24.95" customHeight="1" x14ac:dyDescent="0.25">
      <c r="A55" s="26"/>
      <c r="B55" s="4" t="s">
        <v>380</v>
      </c>
      <c r="C55" s="1"/>
      <c r="D55" s="1">
        <v>8474</v>
      </c>
      <c r="E55" s="1"/>
      <c r="F55" s="1">
        <v>12052</v>
      </c>
      <c r="G55" s="1"/>
      <c r="H55" s="1"/>
    </row>
    <row r="56" spans="1:8" s="28" customFormat="1" ht="24.95" customHeight="1" x14ac:dyDescent="0.25">
      <c r="A56" s="26"/>
      <c r="B56" s="4" t="s">
        <v>381</v>
      </c>
      <c r="C56" s="1"/>
      <c r="D56" s="1">
        <v>1700</v>
      </c>
      <c r="E56" s="1"/>
      <c r="F56" s="1">
        <v>1700</v>
      </c>
      <c r="G56" s="1"/>
      <c r="H56" s="1"/>
    </row>
    <row r="57" spans="1:8" s="28" customFormat="1" ht="24.95" customHeight="1" x14ac:dyDescent="0.25">
      <c r="A57" s="26"/>
      <c r="B57" s="4" t="s">
        <v>382</v>
      </c>
      <c r="C57" s="1"/>
      <c r="D57" s="1">
        <v>250</v>
      </c>
      <c r="E57" s="1"/>
      <c r="F57" s="1">
        <v>250</v>
      </c>
      <c r="G57" s="1"/>
      <c r="H57" s="1"/>
    </row>
    <row r="58" spans="1:8" s="28" customFormat="1" ht="24.95" customHeight="1" x14ac:dyDescent="0.25">
      <c r="A58" s="26"/>
      <c r="B58" s="4" t="s">
        <v>383</v>
      </c>
      <c r="C58" s="1"/>
      <c r="D58" s="1">
        <v>500</v>
      </c>
      <c r="E58" s="1"/>
      <c r="F58" s="1">
        <v>500</v>
      </c>
      <c r="G58" s="1"/>
      <c r="H58" s="1"/>
    </row>
    <row r="59" spans="1:8" s="28" customFormat="1" ht="24.95" customHeight="1" x14ac:dyDescent="0.25">
      <c r="A59" s="26"/>
      <c r="B59" s="4" t="s">
        <v>384</v>
      </c>
      <c r="C59" s="1"/>
      <c r="D59" s="1">
        <v>200</v>
      </c>
      <c r="E59" s="1"/>
      <c r="F59" s="1">
        <v>200</v>
      </c>
      <c r="G59" s="1"/>
      <c r="H59" s="1"/>
    </row>
    <row r="60" spans="1:8" s="28" customFormat="1" ht="24.95" customHeight="1" x14ac:dyDescent="0.25">
      <c r="A60" s="26"/>
      <c r="B60" s="4" t="s">
        <v>385</v>
      </c>
      <c r="C60" s="1"/>
      <c r="D60" s="1">
        <v>200</v>
      </c>
      <c r="E60" s="1"/>
      <c r="F60" s="1">
        <v>400</v>
      </c>
      <c r="G60" s="1"/>
      <c r="H60" s="1"/>
    </row>
    <row r="61" spans="1:8" s="28" customFormat="1" ht="24.95" customHeight="1" x14ac:dyDescent="0.25">
      <c r="A61" s="26"/>
      <c r="B61" s="4" t="s">
        <v>386</v>
      </c>
      <c r="C61" s="1"/>
      <c r="D61" s="1">
        <v>2000</v>
      </c>
      <c r="E61" s="1"/>
      <c r="F61" s="1">
        <v>2000</v>
      </c>
      <c r="G61" s="1"/>
      <c r="H61" s="1"/>
    </row>
    <row r="62" spans="1:8" s="28" customFormat="1" ht="30" customHeight="1" x14ac:dyDescent="0.25">
      <c r="A62" s="26"/>
      <c r="B62" s="4" t="s">
        <v>139</v>
      </c>
      <c r="C62" s="1"/>
      <c r="D62" s="1">
        <v>19618</v>
      </c>
      <c r="E62" s="1"/>
      <c r="F62" s="1">
        <v>19354</v>
      </c>
      <c r="G62" s="1"/>
      <c r="H62" s="1"/>
    </row>
    <row r="63" spans="1:8" s="28" customFormat="1" ht="30" customHeight="1" x14ac:dyDescent="0.25">
      <c r="A63" s="26"/>
      <c r="B63" s="4" t="s">
        <v>140</v>
      </c>
      <c r="C63" s="1"/>
      <c r="D63" s="1">
        <v>38213</v>
      </c>
      <c r="E63" s="1"/>
      <c r="F63" s="1">
        <v>32754</v>
      </c>
      <c r="G63" s="1"/>
      <c r="H63" s="1"/>
    </row>
    <row r="64" spans="1:8" s="28" customFormat="1" ht="30" customHeight="1" x14ac:dyDescent="0.25">
      <c r="A64" s="26"/>
      <c r="B64" s="4" t="s">
        <v>365</v>
      </c>
      <c r="C64" s="1"/>
      <c r="D64" s="1">
        <v>20000</v>
      </c>
      <c r="E64" s="1"/>
      <c r="F64" s="1">
        <v>15000</v>
      </c>
      <c r="G64" s="1"/>
      <c r="H64" s="1"/>
    </row>
    <row r="65" spans="1:8" s="28" customFormat="1" ht="30" customHeight="1" x14ac:dyDescent="0.25">
      <c r="A65" s="26"/>
      <c r="B65" s="4" t="s">
        <v>366</v>
      </c>
      <c r="C65" s="1"/>
      <c r="D65" s="1">
        <v>17719</v>
      </c>
      <c r="E65" s="1"/>
      <c r="F65" s="1">
        <v>14916</v>
      </c>
      <c r="G65" s="1"/>
      <c r="H65" s="1"/>
    </row>
    <row r="66" spans="1:8" s="28" customFormat="1" ht="30" customHeight="1" x14ac:dyDescent="0.25">
      <c r="A66" s="26"/>
      <c r="B66" s="4" t="s">
        <v>141</v>
      </c>
      <c r="C66" s="1"/>
      <c r="D66" s="1">
        <v>5000</v>
      </c>
      <c r="E66" s="1"/>
      <c r="F66" s="1">
        <v>5000</v>
      </c>
      <c r="G66" s="1"/>
      <c r="H66" s="1"/>
    </row>
    <row r="67" spans="1:8" s="27" customFormat="1" ht="36.75" customHeight="1" x14ac:dyDescent="0.25">
      <c r="A67" s="45"/>
      <c r="B67" s="29" t="s">
        <v>142</v>
      </c>
      <c r="C67" s="4"/>
      <c r="D67" s="4">
        <v>2640</v>
      </c>
      <c r="E67" s="4"/>
      <c r="F67" s="4">
        <v>2640</v>
      </c>
      <c r="G67" s="4"/>
      <c r="H67" s="4"/>
    </row>
    <row r="68" spans="1:8" s="28" customFormat="1" ht="30" customHeight="1" x14ac:dyDescent="0.25">
      <c r="A68" s="26"/>
      <c r="B68" s="4" t="s">
        <v>143</v>
      </c>
      <c r="C68" s="1"/>
      <c r="D68" s="1">
        <v>700</v>
      </c>
      <c r="E68" s="1"/>
      <c r="F68" s="1">
        <v>800</v>
      </c>
      <c r="G68" s="1"/>
      <c r="H68" s="1"/>
    </row>
    <row r="69" spans="1:8" s="41" customFormat="1" ht="30" customHeight="1" x14ac:dyDescent="0.25">
      <c r="A69" s="40"/>
      <c r="B69" s="33" t="s">
        <v>392</v>
      </c>
      <c r="C69" s="23"/>
      <c r="D69" s="23">
        <v>400</v>
      </c>
      <c r="E69" s="23"/>
      <c r="F69" s="23">
        <v>450</v>
      </c>
      <c r="G69" s="23"/>
      <c r="H69" s="23"/>
    </row>
    <row r="70" spans="1:8" s="41" customFormat="1" ht="30" customHeight="1" x14ac:dyDescent="0.25">
      <c r="A70" s="40"/>
      <c r="B70" s="33" t="s">
        <v>144</v>
      </c>
      <c r="C70" s="23"/>
      <c r="D70" s="23">
        <v>300</v>
      </c>
      <c r="E70" s="23"/>
      <c r="F70" s="23">
        <v>350</v>
      </c>
      <c r="G70" s="23"/>
      <c r="H70" s="23"/>
    </row>
    <row r="71" spans="1:8" s="28" customFormat="1" ht="30" customHeight="1" x14ac:dyDescent="0.25">
      <c r="A71" s="26"/>
      <c r="B71" s="4" t="s">
        <v>145</v>
      </c>
      <c r="C71" s="1"/>
      <c r="D71" s="1">
        <v>800</v>
      </c>
      <c r="E71" s="1"/>
      <c r="F71" s="1">
        <v>800</v>
      </c>
      <c r="G71" s="1"/>
      <c r="H71" s="1"/>
    </row>
    <row r="72" spans="1:8" s="28" customFormat="1" ht="30" customHeight="1" x14ac:dyDescent="0.25">
      <c r="A72" s="26"/>
      <c r="B72" s="4" t="s">
        <v>146</v>
      </c>
      <c r="C72" s="1"/>
      <c r="D72" s="1">
        <v>350</v>
      </c>
      <c r="E72" s="1"/>
      <c r="F72" s="1">
        <v>400</v>
      </c>
      <c r="G72" s="1"/>
      <c r="H72" s="1"/>
    </row>
    <row r="73" spans="1:8" s="51" customFormat="1" ht="30" customHeight="1" x14ac:dyDescent="0.25">
      <c r="A73" s="26"/>
      <c r="B73" s="4" t="s">
        <v>553</v>
      </c>
      <c r="C73" s="1"/>
      <c r="D73" s="1">
        <v>3000</v>
      </c>
      <c r="E73" s="1"/>
      <c r="F73" s="1">
        <f>1560+100+50</f>
        <v>1710</v>
      </c>
      <c r="G73" s="1"/>
      <c r="H73" s="1"/>
    </row>
    <row r="74" spans="1:8" s="28" customFormat="1" ht="30" customHeight="1" x14ac:dyDescent="0.25">
      <c r="A74" s="26"/>
      <c r="B74" s="4" t="s">
        <v>296</v>
      </c>
      <c r="C74" s="1"/>
      <c r="D74" s="1">
        <v>50000</v>
      </c>
      <c r="E74" s="1"/>
      <c r="F74" s="1">
        <v>50000</v>
      </c>
      <c r="G74" s="1"/>
      <c r="H74" s="1"/>
    </row>
    <row r="75" spans="1:8" s="28" customFormat="1" ht="30" customHeight="1" x14ac:dyDescent="0.25">
      <c r="A75" s="26"/>
      <c r="B75" s="4" t="s">
        <v>297</v>
      </c>
      <c r="C75" s="1"/>
      <c r="D75" s="1">
        <v>10000</v>
      </c>
      <c r="E75" s="1"/>
      <c r="F75" s="1">
        <v>10000</v>
      </c>
      <c r="G75" s="1"/>
      <c r="H75" s="1"/>
    </row>
    <row r="76" spans="1:8" s="28" customFormat="1" ht="30" customHeight="1" x14ac:dyDescent="0.25">
      <c r="A76" s="26"/>
      <c r="B76" s="4" t="s">
        <v>147</v>
      </c>
      <c r="C76" s="1"/>
      <c r="D76" s="1">
        <v>15000</v>
      </c>
      <c r="E76" s="1"/>
      <c r="F76" s="1">
        <v>17000</v>
      </c>
      <c r="G76" s="1"/>
      <c r="H76" s="1"/>
    </row>
    <row r="77" spans="1:8" s="28" customFormat="1" ht="30" customHeight="1" x14ac:dyDescent="0.25">
      <c r="A77" s="26"/>
      <c r="B77" s="4" t="s">
        <v>570</v>
      </c>
      <c r="C77" s="1"/>
      <c r="D77" s="1">
        <v>2000</v>
      </c>
      <c r="E77" s="1"/>
      <c r="F77" s="1">
        <v>700</v>
      </c>
      <c r="G77" s="1"/>
      <c r="H77" s="1"/>
    </row>
    <row r="78" spans="1:8" s="28" customFormat="1" ht="30" customHeight="1" x14ac:dyDescent="0.25">
      <c r="A78" s="26"/>
      <c r="B78" s="4" t="s">
        <v>342</v>
      </c>
      <c r="C78" s="1"/>
      <c r="D78" s="1">
        <v>29762</v>
      </c>
      <c r="E78" s="1"/>
      <c r="F78" s="1">
        <f>35471-4000-150+17102-2000-1000+300-3000-3000-200</f>
        <v>39523</v>
      </c>
      <c r="G78" s="1"/>
      <c r="H78" s="1"/>
    </row>
    <row r="79" spans="1:8" s="71" customFormat="1" ht="30" customHeight="1" x14ac:dyDescent="0.25">
      <c r="A79" s="70"/>
      <c r="B79" s="4" t="s">
        <v>148</v>
      </c>
      <c r="C79" s="1"/>
      <c r="D79" s="1">
        <v>6416</v>
      </c>
      <c r="E79" s="1"/>
      <c r="F79" s="1">
        <v>8000</v>
      </c>
      <c r="G79" s="69"/>
      <c r="H79" s="69"/>
    </row>
    <row r="80" spans="1:8" s="28" customFormat="1" ht="30" customHeight="1" x14ac:dyDescent="0.25">
      <c r="A80" s="26"/>
      <c r="B80" s="4" t="s">
        <v>149</v>
      </c>
      <c r="C80" s="1"/>
      <c r="D80" s="1">
        <v>3000</v>
      </c>
      <c r="E80" s="1"/>
      <c r="F80" s="1">
        <v>3300</v>
      </c>
      <c r="G80" s="1"/>
      <c r="H80" s="1"/>
    </row>
    <row r="81" spans="1:8" s="28" customFormat="1" ht="30" customHeight="1" x14ac:dyDescent="0.25">
      <c r="A81" s="26"/>
      <c r="B81" s="4" t="s">
        <v>150</v>
      </c>
      <c r="C81" s="1"/>
      <c r="D81" s="1">
        <v>1000</v>
      </c>
      <c r="E81" s="1"/>
      <c r="F81" s="1">
        <v>1500</v>
      </c>
      <c r="G81" s="1"/>
      <c r="H81" s="1"/>
    </row>
    <row r="82" spans="1:8" s="28" customFormat="1" ht="30" customHeight="1" x14ac:dyDescent="0.25">
      <c r="A82" s="26"/>
      <c r="B82" s="4" t="s">
        <v>432</v>
      </c>
      <c r="C82" s="1"/>
      <c r="D82" s="1">
        <v>40040</v>
      </c>
      <c r="E82" s="1"/>
      <c r="F82" s="1">
        <v>40040</v>
      </c>
      <c r="G82" s="1"/>
      <c r="H82" s="1"/>
    </row>
    <row r="83" spans="1:8" s="42" customFormat="1" ht="24.95" customHeight="1" x14ac:dyDescent="0.2">
      <c r="A83" s="37">
        <v>2</v>
      </c>
      <c r="B83" s="25" t="s">
        <v>363</v>
      </c>
      <c r="C83" s="2">
        <v>3286057</v>
      </c>
      <c r="D83" s="2">
        <v>888607</v>
      </c>
      <c r="E83" s="2">
        <f>F83+G83+H83</f>
        <v>3700928.86</v>
      </c>
      <c r="F83" s="2">
        <f>F84+F94</f>
        <v>1034487.86</v>
      </c>
      <c r="G83" s="2">
        <f>G84+G94</f>
        <v>2666441</v>
      </c>
      <c r="H83" s="2"/>
    </row>
    <row r="84" spans="1:8" s="41" customFormat="1" ht="24.95" customHeight="1" x14ac:dyDescent="0.25">
      <c r="A84" s="40"/>
      <c r="B84" s="33" t="s">
        <v>86</v>
      </c>
      <c r="C84" s="23"/>
      <c r="D84" s="23">
        <v>708686</v>
      </c>
      <c r="E84" s="23">
        <f>F84+G84+H84</f>
        <v>3461737</v>
      </c>
      <c r="F84" s="23">
        <f>SUM(F86:F93)</f>
        <v>840838</v>
      </c>
      <c r="G84" s="23">
        <f>2542299+78600</f>
        <v>2620899</v>
      </c>
      <c r="H84" s="23"/>
    </row>
    <row r="85" spans="1:8" s="28" customFormat="1" ht="24.95" customHeight="1" x14ac:dyDescent="0.25">
      <c r="A85" s="26"/>
      <c r="B85" s="33" t="s">
        <v>57</v>
      </c>
      <c r="C85" s="23"/>
      <c r="D85" s="23"/>
      <c r="E85" s="2"/>
      <c r="F85" s="23"/>
      <c r="G85" s="23"/>
      <c r="H85" s="23"/>
    </row>
    <row r="86" spans="1:8" s="28" customFormat="1" ht="24.95" customHeight="1" x14ac:dyDescent="0.25">
      <c r="A86" s="26"/>
      <c r="B86" s="4" t="s">
        <v>87</v>
      </c>
      <c r="C86" s="1"/>
      <c r="D86" s="1">
        <f>406500-20000</f>
        <v>386500</v>
      </c>
      <c r="E86" s="1"/>
      <c r="F86" s="1">
        <f>372606+20000</f>
        <v>392606</v>
      </c>
      <c r="G86" s="1"/>
      <c r="H86" s="1"/>
    </row>
    <row r="87" spans="1:8" s="28" customFormat="1" ht="27.75" customHeight="1" x14ac:dyDescent="0.25">
      <c r="A87" s="26"/>
      <c r="B87" s="4" t="s">
        <v>88</v>
      </c>
      <c r="C87" s="1"/>
      <c r="D87" s="1">
        <f>16801+23591+9177+50000+100000-153625+40000-22000-3000</f>
        <v>60944</v>
      </c>
      <c r="E87" s="1"/>
      <c r="F87" s="1">
        <v>90000</v>
      </c>
      <c r="G87" s="1"/>
      <c r="H87" s="1"/>
    </row>
    <row r="88" spans="1:8" s="28" customFormat="1" ht="39" customHeight="1" x14ac:dyDescent="0.25">
      <c r="A88" s="26"/>
      <c r="B88" s="29" t="s">
        <v>306</v>
      </c>
      <c r="C88" s="1"/>
      <c r="D88" s="1">
        <v>86568</v>
      </c>
      <c r="E88" s="1"/>
      <c r="F88" s="1">
        <v>115000</v>
      </c>
      <c r="G88" s="1"/>
      <c r="H88" s="1"/>
    </row>
    <row r="89" spans="1:8" s="28" customFormat="1" ht="24.95" customHeight="1" x14ac:dyDescent="0.25">
      <c r="A89" s="26"/>
      <c r="B89" s="4" t="s">
        <v>89</v>
      </c>
      <c r="C89" s="1"/>
      <c r="D89" s="1">
        <v>10000</v>
      </c>
      <c r="E89" s="1"/>
      <c r="F89" s="1">
        <v>30000</v>
      </c>
      <c r="G89" s="1"/>
      <c r="H89" s="1"/>
    </row>
    <row r="90" spans="1:8" s="28" customFormat="1" ht="24.95" customHeight="1" x14ac:dyDescent="0.25">
      <c r="A90" s="26"/>
      <c r="B90" s="4" t="s">
        <v>90</v>
      </c>
      <c r="C90" s="1"/>
      <c r="D90" s="1">
        <v>30000</v>
      </c>
      <c r="E90" s="1"/>
      <c r="F90" s="1">
        <v>50000</v>
      </c>
      <c r="G90" s="1"/>
      <c r="H90" s="1"/>
    </row>
    <row r="91" spans="1:8" s="28" customFormat="1" ht="51" customHeight="1" x14ac:dyDescent="0.25">
      <c r="A91" s="26"/>
      <c r="B91" s="4" t="s">
        <v>609</v>
      </c>
      <c r="C91" s="1"/>
      <c r="D91" s="1">
        <v>0</v>
      </c>
      <c r="E91" s="1"/>
      <c r="F91" s="1">
        <f>36000+20000</f>
        <v>56000</v>
      </c>
      <c r="G91" s="1"/>
      <c r="H91" s="1"/>
    </row>
    <row r="92" spans="1:8" s="28" customFormat="1" ht="24" customHeight="1" x14ac:dyDescent="0.25">
      <c r="A92" s="26"/>
      <c r="B92" s="4" t="s">
        <v>391</v>
      </c>
      <c r="C92" s="1"/>
      <c r="D92" s="1">
        <v>5000</v>
      </c>
      <c r="E92" s="1"/>
      <c r="F92" s="1">
        <v>8000</v>
      </c>
      <c r="G92" s="1"/>
      <c r="H92" s="1"/>
    </row>
    <row r="93" spans="1:8" s="28" customFormat="1" ht="35.25" customHeight="1" x14ac:dyDescent="0.25">
      <c r="A93" s="26"/>
      <c r="B93" s="29" t="s">
        <v>378</v>
      </c>
      <c r="C93" s="1"/>
      <c r="D93" s="1">
        <v>40000</v>
      </c>
      <c r="E93" s="1"/>
      <c r="F93" s="1">
        <f>119000-17732-2036</f>
        <v>99232</v>
      </c>
      <c r="G93" s="1"/>
      <c r="H93" s="1"/>
    </row>
    <row r="94" spans="1:8" s="41" customFormat="1" ht="24.95" customHeight="1" x14ac:dyDescent="0.25">
      <c r="A94" s="40"/>
      <c r="B94" s="33" t="s">
        <v>91</v>
      </c>
      <c r="C94" s="23"/>
      <c r="D94" s="23">
        <f>SUM(D95:D103)</f>
        <v>134321</v>
      </c>
      <c r="E94" s="23">
        <f>F94+G94+H94</f>
        <v>239191.86</v>
      </c>
      <c r="F94" s="23">
        <f>SUM(F95:F103)</f>
        <v>193649.86</v>
      </c>
      <c r="G94" s="23">
        <v>45542</v>
      </c>
      <c r="H94" s="23"/>
    </row>
    <row r="95" spans="1:8" s="28" customFormat="1" ht="35.25" customHeight="1" x14ac:dyDescent="0.25">
      <c r="A95" s="26"/>
      <c r="B95" s="29" t="s">
        <v>344</v>
      </c>
      <c r="C95" s="1"/>
      <c r="D95" s="1">
        <v>114721</v>
      </c>
      <c r="E95" s="1"/>
      <c r="F95" s="1">
        <f>'[1]TH DT 2017 '!$R$7</f>
        <v>98649.86</v>
      </c>
      <c r="G95" s="1"/>
      <c r="H95" s="1"/>
    </row>
    <row r="96" spans="1:8" s="28" customFormat="1" ht="35.25" customHeight="1" x14ac:dyDescent="0.25">
      <c r="A96" s="26"/>
      <c r="B96" s="4" t="s">
        <v>573</v>
      </c>
      <c r="C96" s="1"/>
      <c r="D96" s="1">
        <v>5000</v>
      </c>
      <c r="E96" s="1"/>
      <c r="F96" s="1">
        <v>10000</v>
      </c>
      <c r="G96" s="1"/>
      <c r="H96" s="1"/>
    </row>
    <row r="97" spans="1:8" s="28" customFormat="1" ht="24.95" customHeight="1" x14ac:dyDescent="0.25">
      <c r="A97" s="26"/>
      <c r="B97" s="4" t="s">
        <v>92</v>
      </c>
      <c r="C97" s="1"/>
      <c r="D97" s="1">
        <v>1000</v>
      </c>
      <c r="E97" s="1"/>
      <c r="F97" s="1">
        <v>2000</v>
      </c>
      <c r="G97" s="1"/>
      <c r="H97" s="1"/>
    </row>
    <row r="98" spans="1:8" s="28" customFormat="1" ht="24.95" customHeight="1" x14ac:dyDescent="0.25">
      <c r="A98" s="26"/>
      <c r="B98" s="4" t="s">
        <v>93</v>
      </c>
      <c r="C98" s="1"/>
      <c r="D98" s="1">
        <v>1000</v>
      </c>
      <c r="E98" s="1"/>
      <c r="F98" s="1">
        <v>2000</v>
      </c>
      <c r="G98" s="1"/>
      <c r="H98" s="1"/>
    </row>
    <row r="99" spans="1:8" s="28" customFormat="1" ht="24.95" customHeight="1" x14ac:dyDescent="0.25">
      <c r="A99" s="26"/>
      <c r="B99" s="4" t="s">
        <v>94</v>
      </c>
      <c r="C99" s="1"/>
      <c r="D99" s="1">
        <v>7000</v>
      </c>
      <c r="E99" s="1"/>
      <c r="F99" s="1">
        <v>10000</v>
      </c>
      <c r="G99" s="1"/>
      <c r="H99" s="1"/>
    </row>
    <row r="100" spans="1:8" s="28" customFormat="1" ht="36.75" customHeight="1" x14ac:dyDescent="0.25">
      <c r="A100" s="26"/>
      <c r="B100" s="4" t="s">
        <v>370</v>
      </c>
      <c r="C100" s="1"/>
      <c r="D100" s="1"/>
      <c r="E100" s="1"/>
      <c r="F100" s="1">
        <v>20000</v>
      </c>
      <c r="G100" s="1"/>
      <c r="H100" s="1"/>
    </row>
    <row r="101" spans="1:8" s="28" customFormat="1" ht="24.95" customHeight="1" x14ac:dyDescent="0.25">
      <c r="A101" s="26"/>
      <c r="B101" s="4" t="s">
        <v>540</v>
      </c>
      <c r="C101" s="1"/>
      <c r="D101" s="1"/>
      <c r="E101" s="1"/>
      <c r="F101" s="1">
        <v>20000</v>
      </c>
      <c r="G101" s="1"/>
      <c r="H101" s="1"/>
    </row>
    <row r="102" spans="1:8" s="27" customFormat="1" ht="39" customHeight="1" x14ac:dyDescent="0.25">
      <c r="A102" s="45"/>
      <c r="B102" s="4" t="s">
        <v>305</v>
      </c>
      <c r="C102" s="4"/>
      <c r="D102" s="4">
        <v>600</v>
      </c>
      <c r="E102" s="4"/>
      <c r="F102" s="4">
        <v>1000</v>
      </c>
      <c r="G102" s="4"/>
      <c r="H102" s="4"/>
    </row>
    <row r="103" spans="1:8" s="28" customFormat="1" ht="24.95" customHeight="1" x14ac:dyDescent="0.25">
      <c r="A103" s="26"/>
      <c r="B103" s="4" t="s">
        <v>95</v>
      </c>
      <c r="C103" s="1"/>
      <c r="D103" s="1">
        <v>5000</v>
      </c>
      <c r="E103" s="1"/>
      <c r="F103" s="1">
        <v>30000</v>
      </c>
      <c r="G103" s="1"/>
      <c r="H103" s="1"/>
    </row>
    <row r="104" spans="1:8" s="42" customFormat="1" ht="24.95" customHeight="1" x14ac:dyDescent="0.2">
      <c r="A104" s="37">
        <v>3</v>
      </c>
      <c r="B104" s="25" t="s">
        <v>96</v>
      </c>
      <c r="C104" s="2">
        <v>473792</v>
      </c>
      <c r="D104" s="2">
        <f>SUM(D105:D108)</f>
        <v>297473</v>
      </c>
      <c r="E104" s="2">
        <f>F104+G104+H104</f>
        <v>534000</v>
      </c>
      <c r="F104" s="2">
        <f>SUM(F105:F109)</f>
        <v>347339</v>
      </c>
      <c r="G104" s="2">
        <v>186661</v>
      </c>
      <c r="H104" s="2"/>
    </row>
    <row r="105" spans="1:8" s="28" customFormat="1" ht="24.95" customHeight="1" x14ac:dyDescent="0.25">
      <c r="A105" s="26"/>
      <c r="B105" s="4" t="s">
        <v>317</v>
      </c>
      <c r="C105" s="1"/>
      <c r="D105" s="1">
        <v>286438</v>
      </c>
      <c r="E105" s="1"/>
      <c r="F105" s="1">
        <f>288639+1500</f>
        <v>290139</v>
      </c>
      <c r="G105" s="1"/>
      <c r="H105" s="1"/>
    </row>
    <row r="106" spans="1:8" s="28" customFormat="1" ht="24.95" customHeight="1" x14ac:dyDescent="0.25">
      <c r="A106" s="26"/>
      <c r="B106" s="29" t="s">
        <v>97</v>
      </c>
      <c r="C106" s="1"/>
      <c r="D106" s="1">
        <f>721+314</f>
        <v>1035</v>
      </c>
      <c r="E106" s="1"/>
      <c r="F106" s="1">
        <v>1200</v>
      </c>
      <c r="G106" s="1"/>
      <c r="H106" s="1"/>
    </row>
    <row r="107" spans="1:8" s="28" customFormat="1" ht="24.95" customHeight="1" x14ac:dyDescent="0.25">
      <c r="A107" s="26"/>
      <c r="B107" s="4" t="s">
        <v>309</v>
      </c>
      <c r="C107" s="1"/>
      <c r="D107" s="1">
        <v>10000</v>
      </c>
      <c r="E107" s="1"/>
      <c r="F107" s="1">
        <v>10000</v>
      </c>
      <c r="G107" s="1"/>
      <c r="H107" s="1"/>
    </row>
    <row r="108" spans="1:8" s="28" customFormat="1" ht="24.95" customHeight="1" x14ac:dyDescent="0.25">
      <c r="A108" s="26"/>
      <c r="B108" s="4" t="s">
        <v>371</v>
      </c>
      <c r="C108" s="1"/>
      <c r="D108" s="1"/>
      <c r="E108" s="1"/>
      <c r="F108" s="1">
        <v>30000</v>
      </c>
      <c r="G108" s="1"/>
      <c r="H108" s="1"/>
    </row>
    <row r="109" spans="1:8" s="28" customFormat="1" ht="38.25" customHeight="1" x14ac:dyDescent="0.25">
      <c r="A109" s="26"/>
      <c r="B109" s="4" t="s">
        <v>541</v>
      </c>
      <c r="C109" s="1"/>
      <c r="D109" s="1"/>
      <c r="E109" s="1"/>
      <c r="F109" s="1">
        <v>16000</v>
      </c>
      <c r="G109" s="1"/>
      <c r="H109" s="1"/>
    </row>
    <row r="110" spans="1:8" s="42" customFormat="1" ht="24.95" customHeight="1" x14ac:dyDescent="0.2">
      <c r="A110" s="37">
        <v>4</v>
      </c>
      <c r="B110" s="25" t="s">
        <v>98</v>
      </c>
      <c r="C110" s="2">
        <v>97243</v>
      </c>
      <c r="D110" s="2">
        <f>SUM(D111:D119)-D114-D115</f>
        <v>45976</v>
      </c>
      <c r="E110" s="2">
        <f>F110+G110+H110</f>
        <v>107932</v>
      </c>
      <c r="F110" s="2">
        <f>SUM(F111:F121)-F113</f>
        <v>62728</v>
      </c>
      <c r="G110" s="2">
        <v>19421</v>
      </c>
      <c r="H110" s="2">
        <v>25783</v>
      </c>
    </row>
    <row r="111" spans="1:8" s="28" customFormat="1" ht="24.95" customHeight="1" x14ac:dyDescent="0.25">
      <c r="A111" s="26"/>
      <c r="B111" s="4" t="s">
        <v>99</v>
      </c>
      <c r="C111" s="1"/>
      <c r="D111" s="1">
        <f>34232+1500</f>
        <v>35732</v>
      </c>
      <c r="E111" s="1"/>
      <c r="F111" s="1">
        <f>35507+2000</f>
        <v>37507</v>
      </c>
      <c r="G111" s="1"/>
      <c r="H111" s="1"/>
    </row>
    <row r="112" spans="1:8" s="28" customFormat="1" ht="24.95" customHeight="1" x14ac:dyDescent="0.25">
      <c r="A112" s="26"/>
      <c r="B112" s="4" t="s">
        <v>100</v>
      </c>
      <c r="C112" s="1"/>
      <c r="D112" s="1">
        <v>500</v>
      </c>
      <c r="E112" s="1"/>
      <c r="F112" s="1">
        <v>500</v>
      </c>
      <c r="G112" s="1"/>
      <c r="H112" s="1"/>
    </row>
    <row r="113" spans="1:8" s="28" customFormat="1" ht="34.5" customHeight="1" x14ac:dyDescent="0.25">
      <c r="A113" s="26"/>
      <c r="B113" s="4" t="s">
        <v>393</v>
      </c>
      <c r="C113" s="1"/>
      <c r="D113" s="1">
        <v>605</v>
      </c>
      <c r="E113" s="1"/>
      <c r="F113" s="69"/>
      <c r="G113" s="1"/>
      <c r="H113" s="1"/>
    </row>
    <row r="114" spans="1:8" s="41" customFormat="1" ht="24.95" customHeight="1" x14ac:dyDescent="0.25">
      <c r="A114" s="40"/>
      <c r="B114" s="33" t="s">
        <v>101</v>
      </c>
      <c r="C114" s="23"/>
      <c r="D114" s="23">
        <v>505</v>
      </c>
      <c r="E114" s="23"/>
      <c r="F114" s="73"/>
      <c r="G114" s="23"/>
      <c r="H114" s="23"/>
    </row>
    <row r="115" spans="1:8" s="41" customFormat="1" ht="24.95" customHeight="1" x14ac:dyDescent="0.25">
      <c r="A115" s="40"/>
      <c r="B115" s="33" t="s">
        <v>102</v>
      </c>
      <c r="C115" s="23"/>
      <c r="D115" s="23">
        <v>100</v>
      </c>
      <c r="E115" s="23"/>
      <c r="F115" s="73"/>
      <c r="G115" s="23"/>
      <c r="H115" s="23"/>
    </row>
    <row r="116" spans="1:8" s="28" customFormat="1" ht="24.95" customHeight="1" x14ac:dyDescent="0.25">
      <c r="A116" s="26"/>
      <c r="B116" s="4" t="s">
        <v>103</v>
      </c>
      <c r="C116" s="1"/>
      <c r="D116" s="1">
        <v>6384</v>
      </c>
      <c r="E116" s="1"/>
      <c r="F116" s="1">
        <v>6384</v>
      </c>
      <c r="G116" s="1"/>
      <c r="H116" s="1"/>
    </row>
    <row r="117" spans="1:8" s="28" customFormat="1" ht="24.95" customHeight="1" x14ac:dyDescent="0.25">
      <c r="A117" s="26"/>
      <c r="B117" s="4" t="s">
        <v>310</v>
      </c>
      <c r="C117" s="1"/>
      <c r="D117" s="1">
        <v>2500</v>
      </c>
      <c r="E117" s="1"/>
      <c r="F117" s="1">
        <v>1450</v>
      </c>
      <c r="G117" s="1"/>
      <c r="H117" s="1"/>
    </row>
    <row r="118" spans="1:8" s="28" customFormat="1" ht="24.95" customHeight="1" x14ac:dyDescent="0.25">
      <c r="A118" s="26"/>
      <c r="B118" s="4" t="s">
        <v>104</v>
      </c>
      <c r="C118" s="1"/>
      <c r="D118" s="1">
        <f>112+143</f>
        <v>255</v>
      </c>
      <c r="E118" s="1"/>
      <c r="F118" s="1">
        <v>255</v>
      </c>
      <c r="G118" s="1"/>
      <c r="H118" s="1"/>
    </row>
    <row r="119" spans="1:8" s="28" customFormat="1" ht="24" customHeight="1" x14ac:dyDescent="0.25">
      <c r="A119" s="26"/>
      <c r="B119" s="4" t="s">
        <v>105</v>
      </c>
      <c r="C119" s="1"/>
      <c r="D119" s="1">
        <v>0</v>
      </c>
      <c r="E119" s="1"/>
      <c r="F119" s="1">
        <v>1032</v>
      </c>
      <c r="G119" s="1"/>
      <c r="H119" s="1"/>
    </row>
    <row r="120" spans="1:8" s="28" customFormat="1" ht="24" customHeight="1" x14ac:dyDescent="0.25">
      <c r="A120" s="26"/>
      <c r="B120" s="4" t="s">
        <v>367</v>
      </c>
      <c r="C120" s="1"/>
      <c r="D120" s="1"/>
      <c r="E120" s="1"/>
      <c r="F120" s="1">
        <v>600</v>
      </c>
      <c r="G120" s="1"/>
      <c r="H120" s="1"/>
    </row>
    <row r="121" spans="1:8" s="28" customFormat="1" ht="36" customHeight="1" x14ac:dyDescent="0.25">
      <c r="A121" s="26"/>
      <c r="B121" s="4" t="s">
        <v>446</v>
      </c>
      <c r="C121" s="1"/>
      <c r="D121" s="1"/>
      <c r="E121" s="1"/>
      <c r="F121" s="1">
        <v>15000</v>
      </c>
      <c r="G121" s="1"/>
      <c r="H121" s="1"/>
    </row>
    <row r="122" spans="1:8" s="42" customFormat="1" ht="24.95" customHeight="1" x14ac:dyDescent="0.2">
      <c r="A122" s="37">
        <v>5</v>
      </c>
      <c r="B122" s="25" t="s">
        <v>106</v>
      </c>
      <c r="C122" s="2">
        <v>32789</v>
      </c>
      <c r="D122" s="2">
        <f>SUM(D123:D126)</f>
        <v>19400</v>
      </c>
      <c r="E122" s="2">
        <f>F122+G122+H122</f>
        <v>38050</v>
      </c>
      <c r="F122" s="2">
        <f>SUM(F123:F127)</f>
        <v>24400</v>
      </c>
      <c r="G122" s="2">
        <v>13650</v>
      </c>
      <c r="H122" s="2"/>
    </row>
    <row r="123" spans="1:8" s="28" customFormat="1" ht="24.95" customHeight="1" x14ac:dyDescent="0.25">
      <c r="A123" s="26"/>
      <c r="B123" s="4" t="s">
        <v>99</v>
      </c>
      <c r="C123" s="1"/>
      <c r="D123" s="1">
        <v>15000</v>
      </c>
      <c r="E123" s="1"/>
      <c r="F123" s="1">
        <f>15000+3000</f>
        <v>18000</v>
      </c>
      <c r="G123" s="1"/>
      <c r="H123" s="1"/>
    </row>
    <row r="124" spans="1:8" s="28" customFormat="1" ht="24.95" customHeight="1" x14ac:dyDescent="0.25">
      <c r="A124" s="26"/>
      <c r="B124" s="4" t="s">
        <v>388</v>
      </c>
      <c r="C124" s="1"/>
      <c r="D124" s="1">
        <v>1400</v>
      </c>
      <c r="E124" s="1"/>
      <c r="F124" s="1">
        <v>1400</v>
      </c>
      <c r="G124" s="1"/>
      <c r="H124" s="1"/>
    </row>
    <row r="125" spans="1:8" s="28" customFormat="1" ht="24.95" customHeight="1" x14ac:dyDescent="0.25">
      <c r="A125" s="26"/>
      <c r="B125" s="4" t="s">
        <v>107</v>
      </c>
      <c r="C125" s="1"/>
      <c r="D125" s="1">
        <v>2000</v>
      </c>
      <c r="E125" s="1"/>
      <c r="F125" s="1">
        <v>2000</v>
      </c>
      <c r="G125" s="1"/>
      <c r="H125" s="1"/>
    </row>
    <row r="126" spans="1:8" s="28" customFormat="1" ht="24.95" customHeight="1" x14ac:dyDescent="0.25">
      <c r="A126" s="26"/>
      <c r="B126" s="4" t="s">
        <v>108</v>
      </c>
      <c r="C126" s="1"/>
      <c r="D126" s="1">
        <v>1000</v>
      </c>
      <c r="E126" s="1"/>
      <c r="F126" s="1">
        <v>1000</v>
      </c>
      <c r="G126" s="1"/>
      <c r="H126" s="1"/>
    </row>
    <row r="127" spans="1:8" s="28" customFormat="1" ht="24.95" customHeight="1" x14ac:dyDescent="0.25">
      <c r="A127" s="26"/>
      <c r="B127" s="4" t="s">
        <v>372</v>
      </c>
      <c r="C127" s="1"/>
      <c r="D127" s="1"/>
      <c r="E127" s="1"/>
      <c r="F127" s="1">
        <v>2000</v>
      </c>
      <c r="G127" s="1"/>
      <c r="H127" s="1"/>
    </row>
    <row r="128" spans="1:8" s="42" customFormat="1" ht="24.95" customHeight="1" x14ac:dyDescent="0.2">
      <c r="A128" s="37">
        <v>6</v>
      </c>
      <c r="B128" s="25" t="s">
        <v>109</v>
      </c>
      <c r="C128" s="2">
        <v>4400</v>
      </c>
      <c r="D128" s="2">
        <f>SUM(D129:D129)</f>
        <v>3900</v>
      </c>
      <c r="E128" s="2">
        <f>F128+G128+H128</f>
        <v>4500</v>
      </c>
      <c r="F128" s="2">
        <v>4500</v>
      </c>
      <c r="G128" s="2"/>
      <c r="H128" s="2"/>
    </row>
    <row r="129" spans="1:8" s="28" customFormat="1" ht="24.95" customHeight="1" x14ac:dyDescent="0.25">
      <c r="A129" s="26"/>
      <c r="B129" s="4" t="s">
        <v>99</v>
      </c>
      <c r="C129" s="1"/>
      <c r="D129" s="1">
        <v>3900</v>
      </c>
      <c r="E129" s="1"/>
      <c r="F129" s="1">
        <v>4500</v>
      </c>
      <c r="G129" s="1"/>
      <c r="H129" s="1"/>
    </row>
    <row r="130" spans="1:8" s="42" customFormat="1" ht="24.95" customHeight="1" x14ac:dyDescent="0.2">
      <c r="A130" s="37">
        <v>7</v>
      </c>
      <c r="B130" s="25" t="s">
        <v>110</v>
      </c>
      <c r="C130" s="2">
        <v>27652</v>
      </c>
      <c r="D130" s="2">
        <f>D131</f>
        <v>27052</v>
      </c>
      <c r="E130" s="2">
        <f>F130+G130+H130</f>
        <v>37952</v>
      </c>
      <c r="F130" s="2">
        <f>[2]SN!$M$57+F132</f>
        <v>37952</v>
      </c>
      <c r="G130" s="2"/>
      <c r="H130" s="2"/>
    </row>
    <row r="131" spans="1:8" s="28" customFormat="1" ht="24.95" customHeight="1" x14ac:dyDescent="0.25">
      <c r="A131" s="26"/>
      <c r="B131" s="4" t="s">
        <v>111</v>
      </c>
      <c r="C131" s="1"/>
      <c r="D131" s="1">
        <v>27052</v>
      </c>
      <c r="E131" s="1"/>
      <c r="F131" s="1">
        <v>27952</v>
      </c>
      <c r="G131" s="1"/>
      <c r="H131" s="1"/>
    </row>
    <row r="132" spans="1:8" s="28" customFormat="1" ht="24.95" customHeight="1" x14ac:dyDescent="0.25">
      <c r="A132" s="26"/>
      <c r="B132" s="4" t="s">
        <v>542</v>
      </c>
      <c r="C132" s="1"/>
      <c r="D132" s="1"/>
      <c r="E132" s="1"/>
      <c r="F132" s="1">
        <v>10000</v>
      </c>
      <c r="G132" s="1"/>
      <c r="H132" s="1"/>
    </row>
    <row r="133" spans="1:8" s="42" customFormat="1" ht="24.95" customHeight="1" x14ac:dyDescent="0.2">
      <c r="A133" s="37">
        <v>8</v>
      </c>
      <c r="B133" s="25" t="s">
        <v>112</v>
      </c>
      <c r="C133" s="2">
        <v>654728</v>
      </c>
      <c r="D133" s="2">
        <v>276546</v>
      </c>
      <c r="E133" s="2">
        <f>F133+G133+H133</f>
        <v>1015510</v>
      </c>
      <c r="F133" s="2">
        <f>SUM(F135:F151)-F142-F137-F138</f>
        <v>490776</v>
      </c>
      <c r="G133" s="2">
        <v>410017</v>
      </c>
      <c r="H133" s="2">
        <v>114717</v>
      </c>
    </row>
    <row r="134" spans="1:8" s="42" customFormat="1" ht="24.95" customHeight="1" x14ac:dyDescent="0.2">
      <c r="A134" s="37"/>
      <c r="B134" s="25" t="s">
        <v>57</v>
      </c>
      <c r="C134" s="2"/>
      <c r="D134" s="2"/>
      <c r="E134" s="2"/>
      <c r="F134" s="2"/>
      <c r="G134" s="2"/>
      <c r="H134" s="2"/>
    </row>
    <row r="135" spans="1:8" s="28" customFormat="1" ht="24.95" customHeight="1" x14ac:dyDescent="0.25">
      <c r="A135" s="26"/>
      <c r="B135" s="4" t="s">
        <v>113</v>
      </c>
      <c r="C135" s="1"/>
      <c r="D135" s="1">
        <v>17729</v>
      </c>
      <c r="E135" s="1"/>
      <c r="F135" s="1">
        <v>18346</v>
      </c>
      <c r="G135" s="1"/>
      <c r="H135" s="1"/>
    </row>
    <row r="136" spans="1:8" s="28" customFormat="1" ht="24.95" customHeight="1" x14ac:dyDescent="0.25">
      <c r="A136" s="26"/>
      <c r="B136" s="4" t="s">
        <v>114</v>
      </c>
      <c r="C136" s="1"/>
      <c r="D136" s="1">
        <v>3898</v>
      </c>
      <c r="E136" s="1"/>
      <c r="F136" s="1">
        <v>3298</v>
      </c>
      <c r="G136" s="1"/>
      <c r="H136" s="1"/>
    </row>
    <row r="137" spans="1:8" s="41" customFormat="1" ht="24.95" customHeight="1" x14ac:dyDescent="0.25">
      <c r="A137" s="40"/>
      <c r="B137" s="33" t="s">
        <v>115</v>
      </c>
      <c r="C137" s="23"/>
      <c r="D137" s="23">
        <v>600</v>
      </c>
      <c r="E137" s="23"/>
      <c r="F137" s="23">
        <v>600</v>
      </c>
      <c r="G137" s="23"/>
      <c r="H137" s="23"/>
    </row>
    <row r="138" spans="1:8" s="41" customFormat="1" ht="24.95" customHeight="1" x14ac:dyDescent="0.25">
      <c r="A138" s="40"/>
      <c r="B138" s="33" t="s">
        <v>116</v>
      </c>
      <c r="C138" s="23"/>
      <c r="D138" s="23">
        <v>1200</v>
      </c>
      <c r="E138" s="23"/>
      <c r="F138" s="23">
        <v>600</v>
      </c>
      <c r="G138" s="23"/>
      <c r="H138" s="23"/>
    </row>
    <row r="139" spans="1:8" s="28" customFormat="1" ht="24.95" customHeight="1" x14ac:dyDescent="0.25">
      <c r="A139" s="26"/>
      <c r="B139" s="4" t="s">
        <v>368</v>
      </c>
      <c r="C139" s="1"/>
      <c r="D139" s="1">
        <v>0</v>
      </c>
      <c r="E139" s="1"/>
      <c r="F139" s="1">
        <v>412</v>
      </c>
      <c r="G139" s="1"/>
      <c r="H139" s="1"/>
    </row>
    <row r="140" spans="1:8" s="28" customFormat="1" ht="24.95" customHeight="1" x14ac:dyDescent="0.25">
      <c r="A140" s="26"/>
      <c r="B140" s="4" t="s">
        <v>117</v>
      </c>
      <c r="C140" s="1"/>
      <c r="D140" s="1">
        <v>10000</v>
      </c>
      <c r="E140" s="1"/>
      <c r="F140" s="1">
        <v>10000</v>
      </c>
      <c r="G140" s="1"/>
      <c r="H140" s="1"/>
    </row>
    <row r="141" spans="1:8" s="28" customFormat="1" ht="24.95" customHeight="1" x14ac:dyDescent="0.25">
      <c r="A141" s="26"/>
      <c r="B141" s="4" t="s">
        <v>118</v>
      </c>
      <c r="C141" s="1"/>
      <c r="D141" s="1">
        <v>10000</v>
      </c>
      <c r="E141" s="1"/>
      <c r="F141" s="1">
        <v>10000</v>
      </c>
      <c r="G141" s="1"/>
      <c r="H141" s="1"/>
    </row>
    <row r="142" spans="1:8" s="28" customFormat="1" ht="24.95" customHeight="1" x14ac:dyDescent="0.25">
      <c r="A142" s="26"/>
      <c r="B142" s="4" t="s">
        <v>119</v>
      </c>
      <c r="C142" s="1"/>
      <c r="D142" s="1"/>
      <c r="E142" s="1"/>
      <c r="F142" s="1">
        <f>F143+F144+F145+F146+F148+F149+F147</f>
        <v>4500</v>
      </c>
      <c r="G142" s="1"/>
      <c r="H142" s="1"/>
    </row>
    <row r="143" spans="1:8" s="28" customFormat="1" ht="24.95" customHeight="1" x14ac:dyDescent="0.25">
      <c r="A143" s="26"/>
      <c r="B143" s="4" t="s">
        <v>120</v>
      </c>
      <c r="C143" s="1"/>
      <c r="D143" s="1">
        <v>570</v>
      </c>
      <c r="E143" s="1"/>
      <c r="F143" s="1">
        <v>650</v>
      </c>
      <c r="G143" s="1"/>
      <c r="H143" s="1"/>
    </row>
    <row r="144" spans="1:8" s="28" customFormat="1" ht="24.95" customHeight="1" x14ac:dyDescent="0.25">
      <c r="A144" s="26"/>
      <c r="B144" s="4" t="s">
        <v>121</v>
      </c>
      <c r="C144" s="1"/>
      <c r="D144" s="1">
        <v>250</v>
      </c>
      <c r="E144" s="1"/>
      <c r="F144" s="1">
        <v>300</v>
      </c>
      <c r="G144" s="1"/>
      <c r="H144" s="1"/>
    </row>
    <row r="145" spans="1:8" s="71" customFormat="1" ht="24.95" customHeight="1" x14ac:dyDescent="0.25">
      <c r="A145" s="70"/>
      <c r="B145" s="4" t="s">
        <v>122</v>
      </c>
      <c r="C145" s="69"/>
      <c r="D145" s="1">
        <v>160</v>
      </c>
      <c r="E145" s="69"/>
      <c r="F145" s="1">
        <v>100</v>
      </c>
      <c r="G145" s="69"/>
      <c r="H145" s="69"/>
    </row>
    <row r="146" spans="1:8" s="28" customFormat="1" ht="24.95" customHeight="1" x14ac:dyDescent="0.25">
      <c r="A146" s="26"/>
      <c r="B146" s="4" t="s">
        <v>123</v>
      </c>
      <c r="C146" s="1"/>
      <c r="D146" s="1">
        <v>943</v>
      </c>
      <c r="E146" s="1"/>
      <c r="F146" s="1">
        <v>1000</v>
      </c>
      <c r="G146" s="1"/>
      <c r="H146" s="1"/>
    </row>
    <row r="147" spans="1:8" s="28" customFormat="1" ht="24.95" customHeight="1" x14ac:dyDescent="0.25">
      <c r="A147" s="26"/>
      <c r="B147" s="4" t="s">
        <v>373</v>
      </c>
      <c r="C147" s="1"/>
      <c r="D147" s="1"/>
      <c r="E147" s="1"/>
      <c r="F147" s="1">
        <v>500</v>
      </c>
      <c r="G147" s="1"/>
      <c r="H147" s="1"/>
    </row>
    <row r="148" spans="1:8" s="28" customFormat="1" ht="39" customHeight="1" x14ac:dyDescent="0.25">
      <c r="A148" s="26"/>
      <c r="B148" s="49" t="s">
        <v>295</v>
      </c>
      <c r="C148" s="1"/>
      <c r="D148" s="1">
        <f>800+300</f>
        <v>1100</v>
      </c>
      <c r="E148" s="1"/>
      <c r="F148" s="1">
        <v>1200</v>
      </c>
      <c r="G148" s="1"/>
      <c r="H148" s="1"/>
    </row>
    <row r="149" spans="1:8" s="28" customFormat="1" ht="37.5" customHeight="1" x14ac:dyDescent="0.25">
      <c r="A149" s="26"/>
      <c r="B149" s="49" t="s">
        <v>318</v>
      </c>
      <c r="C149" s="1"/>
      <c r="D149" s="1">
        <v>700</v>
      </c>
      <c r="E149" s="1"/>
      <c r="F149" s="1">
        <v>750</v>
      </c>
      <c r="G149" s="1"/>
      <c r="H149" s="1"/>
    </row>
    <row r="150" spans="1:8" s="28" customFormat="1" ht="24" customHeight="1" x14ac:dyDescent="0.25">
      <c r="A150" s="26"/>
      <c r="B150" s="49" t="s">
        <v>199</v>
      </c>
      <c r="C150" s="1"/>
      <c r="D150" s="1"/>
      <c r="E150" s="1"/>
      <c r="F150" s="1">
        <v>3000</v>
      </c>
      <c r="G150" s="1"/>
      <c r="H150" s="1"/>
    </row>
    <row r="151" spans="1:8" s="28" customFormat="1" ht="51.75" customHeight="1" x14ac:dyDescent="0.25">
      <c r="A151" s="26"/>
      <c r="B151" s="4" t="s">
        <v>434</v>
      </c>
      <c r="C151" s="1"/>
      <c r="D151" s="1">
        <v>187775</v>
      </c>
      <c r="E151" s="1"/>
      <c r="F151" s="1">
        <f>474301-12000-30000+50000-3000-14320-5000-3000-5000-6000-1500-4700+2239-500-300</f>
        <v>441220</v>
      </c>
      <c r="G151" s="1"/>
      <c r="H151" s="1"/>
    </row>
    <row r="152" spans="1:8" s="42" customFormat="1" ht="24.95" customHeight="1" x14ac:dyDescent="0.2">
      <c r="A152" s="37">
        <v>9</v>
      </c>
      <c r="B152" s="25" t="s">
        <v>124</v>
      </c>
      <c r="C152" s="2">
        <v>100661</v>
      </c>
      <c r="D152" s="2">
        <v>61100</v>
      </c>
      <c r="E152" s="2">
        <f>F152+G152+H152</f>
        <v>129522</v>
      </c>
      <c r="F152" s="2">
        <f>F153+F167</f>
        <v>72100</v>
      </c>
      <c r="G152" s="2">
        <f>12475+300</f>
        <v>12775</v>
      </c>
      <c r="H152" s="2">
        <v>44647</v>
      </c>
    </row>
    <row r="153" spans="1:8" s="28" customFormat="1" ht="24.95" customHeight="1" x14ac:dyDescent="0.25">
      <c r="A153" s="40"/>
      <c r="B153" s="33" t="s">
        <v>125</v>
      </c>
      <c r="C153" s="23"/>
      <c r="D153" s="23">
        <f>SUM(D155:D166)</f>
        <v>43100</v>
      </c>
      <c r="E153" s="23"/>
      <c r="F153" s="23">
        <f>SUM(F155:F166)</f>
        <v>51100</v>
      </c>
      <c r="G153" s="23"/>
      <c r="H153" s="23"/>
    </row>
    <row r="154" spans="1:8" s="28" customFormat="1" ht="24.95" customHeight="1" x14ac:dyDescent="0.25">
      <c r="A154" s="40"/>
      <c r="B154" s="33" t="s">
        <v>57</v>
      </c>
      <c r="C154" s="23"/>
      <c r="D154" s="23"/>
      <c r="E154" s="23"/>
      <c r="F154" s="23"/>
      <c r="G154" s="23"/>
      <c r="H154" s="23"/>
    </row>
    <row r="155" spans="1:8" s="28" customFormat="1" ht="24.95" customHeight="1" x14ac:dyDescent="0.25">
      <c r="A155" s="26"/>
      <c r="B155" s="4" t="s">
        <v>126</v>
      </c>
      <c r="C155" s="1"/>
      <c r="D155" s="1">
        <v>11500</v>
      </c>
      <c r="E155" s="1"/>
      <c r="F155" s="1">
        <v>11500</v>
      </c>
      <c r="G155" s="1"/>
      <c r="H155" s="1"/>
    </row>
    <row r="156" spans="1:8" s="28" customFormat="1" ht="24.95" customHeight="1" x14ac:dyDescent="0.25">
      <c r="A156" s="26"/>
      <c r="B156" s="4" t="s">
        <v>127</v>
      </c>
      <c r="C156" s="1"/>
      <c r="D156" s="1">
        <v>200</v>
      </c>
      <c r="E156" s="1"/>
      <c r="F156" s="1">
        <v>200</v>
      </c>
      <c r="G156" s="1"/>
      <c r="H156" s="1"/>
    </row>
    <row r="157" spans="1:8" s="28" customFormat="1" ht="24.95" customHeight="1" x14ac:dyDescent="0.25">
      <c r="A157" s="26"/>
      <c r="B157" s="4" t="s">
        <v>128</v>
      </c>
      <c r="C157" s="1"/>
      <c r="D157" s="1">
        <v>550</v>
      </c>
      <c r="E157" s="1"/>
      <c r="F157" s="1">
        <v>550</v>
      </c>
      <c r="G157" s="1"/>
      <c r="H157" s="1"/>
    </row>
    <row r="158" spans="1:8" s="28" customFormat="1" ht="24.95" customHeight="1" x14ac:dyDescent="0.25">
      <c r="A158" s="26"/>
      <c r="B158" s="4" t="s">
        <v>129</v>
      </c>
      <c r="C158" s="1"/>
      <c r="D158" s="1">
        <v>1500</v>
      </c>
      <c r="E158" s="1"/>
      <c r="F158" s="1">
        <v>1500</v>
      </c>
      <c r="G158" s="1"/>
      <c r="H158" s="1"/>
    </row>
    <row r="159" spans="1:8" s="28" customFormat="1" ht="24.95" customHeight="1" x14ac:dyDescent="0.25">
      <c r="A159" s="26"/>
      <c r="B159" s="4" t="s">
        <v>130</v>
      </c>
      <c r="C159" s="1"/>
      <c r="D159" s="1">
        <v>150</v>
      </c>
      <c r="E159" s="1"/>
      <c r="F159" s="1">
        <v>150</v>
      </c>
      <c r="G159" s="1"/>
      <c r="H159" s="1"/>
    </row>
    <row r="160" spans="1:8" s="28" customFormat="1" ht="24.95" customHeight="1" x14ac:dyDescent="0.25">
      <c r="A160" s="26"/>
      <c r="B160" s="4" t="s">
        <v>377</v>
      </c>
      <c r="C160" s="1"/>
      <c r="D160" s="1">
        <v>12500</v>
      </c>
      <c r="E160" s="1"/>
      <c r="F160" s="1">
        <f>12500+500</f>
        <v>13000</v>
      </c>
      <c r="G160" s="1"/>
      <c r="H160" s="1"/>
    </row>
    <row r="161" spans="1:8" s="28" customFormat="1" ht="24.95" customHeight="1" x14ac:dyDescent="0.25">
      <c r="A161" s="26"/>
      <c r="B161" s="4" t="s">
        <v>131</v>
      </c>
      <c r="C161" s="1"/>
      <c r="D161" s="1">
        <v>4500</v>
      </c>
      <c r="E161" s="1"/>
      <c r="F161" s="1">
        <v>4500</v>
      </c>
      <c r="G161" s="1"/>
      <c r="H161" s="1"/>
    </row>
    <row r="162" spans="1:8" s="28" customFormat="1" ht="24.95" customHeight="1" x14ac:dyDescent="0.25">
      <c r="A162" s="26"/>
      <c r="B162" s="4" t="s">
        <v>132</v>
      </c>
      <c r="C162" s="1"/>
      <c r="D162" s="1">
        <v>200</v>
      </c>
      <c r="E162" s="1"/>
      <c r="F162" s="1">
        <v>200</v>
      </c>
      <c r="G162" s="1"/>
      <c r="H162" s="1"/>
    </row>
    <row r="163" spans="1:8" s="28" customFormat="1" ht="25.15" customHeight="1" x14ac:dyDescent="0.25">
      <c r="A163" s="26"/>
      <c r="B163" s="4" t="s">
        <v>402</v>
      </c>
      <c r="C163" s="1"/>
      <c r="D163" s="1">
        <v>6000</v>
      </c>
      <c r="E163" s="1"/>
      <c r="F163" s="1">
        <v>8000</v>
      </c>
      <c r="G163" s="1"/>
      <c r="H163" s="1"/>
    </row>
    <row r="164" spans="1:8" s="28" customFormat="1" ht="52.5" customHeight="1" x14ac:dyDescent="0.25">
      <c r="A164" s="26"/>
      <c r="B164" s="29" t="s">
        <v>341</v>
      </c>
      <c r="C164" s="1"/>
      <c r="D164" s="1">
        <v>2000</v>
      </c>
      <c r="E164" s="1"/>
      <c r="F164" s="1">
        <v>2500</v>
      </c>
      <c r="G164" s="1"/>
      <c r="H164" s="1"/>
    </row>
    <row r="165" spans="1:8" s="28" customFormat="1" ht="36.75" customHeight="1" x14ac:dyDescent="0.25">
      <c r="A165" s="26"/>
      <c r="B165" s="4" t="s">
        <v>608</v>
      </c>
      <c r="C165" s="1"/>
      <c r="D165" s="1">
        <v>2500</v>
      </c>
      <c r="E165" s="1"/>
      <c r="F165" s="1">
        <f>2500+5000</f>
        <v>7500</v>
      </c>
      <c r="G165" s="1"/>
      <c r="H165" s="1"/>
    </row>
    <row r="166" spans="1:8" s="28" customFormat="1" ht="24.95" customHeight="1" x14ac:dyDescent="0.25">
      <c r="A166" s="26"/>
      <c r="B166" s="4" t="s">
        <v>398</v>
      </c>
      <c r="C166" s="1"/>
      <c r="D166" s="1">
        <v>1500</v>
      </c>
      <c r="E166" s="1"/>
      <c r="F166" s="1">
        <v>1500</v>
      </c>
      <c r="G166" s="1"/>
      <c r="H166" s="1"/>
    </row>
    <row r="167" spans="1:8" s="41" customFormat="1" ht="24.95" customHeight="1" x14ac:dyDescent="0.25">
      <c r="A167" s="40"/>
      <c r="B167" s="33" t="s">
        <v>433</v>
      </c>
      <c r="C167" s="23"/>
      <c r="D167" s="23">
        <f>D168+D169</f>
        <v>17500</v>
      </c>
      <c r="E167" s="23"/>
      <c r="F167" s="23">
        <f>SUM(F168:F169)</f>
        <v>21000</v>
      </c>
      <c r="G167" s="23"/>
      <c r="H167" s="23"/>
    </row>
    <row r="168" spans="1:8" s="28" customFormat="1" ht="24.95" customHeight="1" x14ac:dyDescent="0.25">
      <c r="A168" s="26"/>
      <c r="B168" s="4" t="s">
        <v>133</v>
      </c>
      <c r="C168" s="1"/>
      <c r="D168" s="1">
        <v>7500</v>
      </c>
      <c r="E168" s="1"/>
      <c r="F168" s="1">
        <v>9000</v>
      </c>
      <c r="G168" s="1"/>
      <c r="H168" s="1"/>
    </row>
    <row r="169" spans="1:8" s="28" customFormat="1" ht="24.95" customHeight="1" x14ac:dyDescent="0.25">
      <c r="A169" s="26"/>
      <c r="B169" s="4" t="s">
        <v>134</v>
      </c>
      <c r="C169" s="1"/>
      <c r="D169" s="1">
        <v>10000</v>
      </c>
      <c r="E169" s="1"/>
      <c r="F169" s="1">
        <v>12000</v>
      </c>
      <c r="G169" s="1"/>
      <c r="H169" s="1"/>
    </row>
    <row r="170" spans="1:8" s="42" customFormat="1" ht="24.95" customHeight="1" x14ac:dyDescent="0.2">
      <c r="A170" s="37">
        <v>10</v>
      </c>
      <c r="B170" s="25" t="s">
        <v>135</v>
      </c>
      <c r="C170" s="2">
        <v>56225</v>
      </c>
      <c r="D170" s="2">
        <v>27500</v>
      </c>
      <c r="E170" s="2">
        <f>F170+G170+H170</f>
        <v>64571</v>
      </c>
      <c r="F170" s="2">
        <f>SUM(F171:F174)</f>
        <v>37500</v>
      </c>
      <c r="G170" s="2">
        <f>9895+8340</f>
        <v>18235</v>
      </c>
      <c r="H170" s="2">
        <v>8836</v>
      </c>
    </row>
    <row r="171" spans="1:8" s="28" customFormat="1" ht="69.75" customHeight="1" x14ac:dyDescent="0.25">
      <c r="A171" s="26"/>
      <c r="B171" s="29" t="s">
        <v>346</v>
      </c>
      <c r="C171" s="1"/>
      <c r="D171" s="1">
        <v>22000</v>
      </c>
      <c r="E171" s="1"/>
      <c r="F171" s="1">
        <v>24000</v>
      </c>
      <c r="G171" s="1"/>
      <c r="H171" s="1"/>
    </row>
    <row r="172" spans="1:8" s="28" customFormat="1" ht="26.1" customHeight="1" x14ac:dyDescent="0.25">
      <c r="A172" s="26"/>
      <c r="B172" s="29" t="s">
        <v>399</v>
      </c>
      <c r="C172" s="1"/>
      <c r="D172" s="1"/>
      <c r="E172" s="1"/>
      <c r="F172" s="1">
        <v>4000</v>
      </c>
      <c r="G172" s="1"/>
      <c r="H172" s="1"/>
    </row>
    <row r="173" spans="1:8" s="28" customFormat="1" ht="26.1" customHeight="1" x14ac:dyDescent="0.25">
      <c r="A173" s="26"/>
      <c r="B173" s="29" t="s">
        <v>404</v>
      </c>
      <c r="C173" s="1"/>
      <c r="D173" s="1"/>
      <c r="E173" s="1"/>
      <c r="F173" s="1">
        <v>5000</v>
      </c>
      <c r="G173" s="1"/>
      <c r="H173" s="1"/>
    </row>
    <row r="174" spans="1:8" s="28" customFormat="1" ht="26.1" customHeight="1" x14ac:dyDescent="0.25">
      <c r="A174" s="26"/>
      <c r="B174" s="4" t="s">
        <v>136</v>
      </c>
      <c r="C174" s="1"/>
      <c r="D174" s="1">
        <v>4500</v>
      </c>
      <c r="E174" s="1"/>
      <c r="F174" s="1">
        <v>4500</v>
      </c>
      <c r="G174" s="1">
        <v>2600</v>
      </c>
      <c r="H174" s="1">
        <v>2620</v>
      </c>
    </row>
    <row r="175" spans="1:8" s="28" customFormat="1" ht="26.1" customHeight="1" x14ac:dyDescent="0.2">
      <c r="A175" s="37">
        <v>11</v>
      </c>
      <c r="B175" s="25" t="s">
        <v>75</v>
      </c>
      <c r="C175" s="2">
        <v>591489</v>
      </c>
      <c r="D175" s="2">
        <f>D177+D178+D179+D180+D181+D182+D183+D184+D186+D188+D189+D192</f>
        <v>252131</v>
      </c>
      <c r="E175" s="2">
        <f>F175+G175+H175</f>
        <v>832580</v>
      </c>
      <c r="F175" s="2">
        <f>SUM(F177:F193)</f>
        <v>300777</v>
      </c>
      <c r="G175" s="2">
        <f>473327-4600</f>
        <v>468727</v>
      </c>
      <c r="H175" s="2">
        <f>67676-4600</f>
        <v>63076</v>
      </c>
    </row>
    <row r="176" spans="1:8" s="28" customFormat="1" ht="26.1" customHeight="1" x14ac:dyDescent="0.25">
      <c r="A176" s="37"/>
      <c r="B176" s="4" t="s">
        <v>57</v>
      </c>
      <c r="C176" s="2"/>
      <c r="D176" s="2"/>
      <c r="E176" s="2"/>
      <c r="F176" s="2"/>
      <c r="G176" s="2"/>
      <c r="H176" s="2"/>
    </row>
    <row r="177" spans="1:8" s="28" customFormat="1" ht="52.5" customHeight="1" x14ac:dyDescent="0.25">
      <c r="A177" s="44" t="s">
        <v>414</v>
      </c>
      <c r="B177" s="29" t="s">
        <v>76</v>
      </c>
      <c r="C177" s="1"/>
      <c r="D177" s="1">
        <v>75508</v>
      </c>
      <c r="E177" s="1"/>
      <c r="F177" s="1">
        <v>76140</v>
      </c>
      <c r="G177" s="1"/>
      <c r="H177" s="1"/>
    </row>
    <row r="178" spans="1:8" s="28" customFormat="1" ht="26.1" customHeight="1" x14ac:dyDescent="0.25">
      <c r="A178" s="26" t="s">
        <v>415</v>
      </c>
      <c r="B178" s="4" t="s">
        <v>77</v>
      </c>
      <c r="C178" s="1"/>
      <c r="D178" s="1">
        <v>7380</v>
      </c>
      <c r="E178" s="1"/>
      <c r="F178" s="1">
        <v>7600</v>
      </c>
      <c r="G178" s="1"/>
      <c r="H178" s="1"/>
    </row>
    <row r="179" spans="1:8" s="28" customFormat="1" ht="26.1" customHeight="1" x14ac:dyDescent="0.25">
      <c r="A179" s="26" t="s">
        <v>416</v>
      </c>
      <c r="B179" s="4" t="s">
        <v>78</v>
      </c>
      <c r="C179" s="1"/>
      <c r="D179" s="1">
        <v>8250</v>
      </c>
      <c r="E179" s="1"/>
      <c r="F179" s="1">
        <v>8450</v>
      </c>
      <c r="G179" s="1"/>
      <c r="H179" s="1"/>
    </row>
    <row r="180" spans="1:8" s="28" customFormat="1" ht="26.1" customHeight="1" x14ac:dyDescent="0.25">
      <c r="A180" s="26" t="s">
        <v>417</v>
      </c>
      <c r="B180" s="4" t="s">
        <v>79</v>
      </c>
      <c r="C180" s="1"/>
      <c r="D180" s="1">
        <v>3000</v>
      </c>
      <c r="E180" s="1"/>
      <c r="F180" s="1">
        <v>3000</v>
      </c>
      <c r="G180" s="1"/>
      <c r="H180" s="1"/>
    </row>
    <row r="181" spans="1:8" s="28" customFormat="1" ht="26.1" customHeight="1" x14ac:dyDescent="0.25">
      <c r="A181" s="26" t="s">
        <v>418</v>
      </c>
      <c r="B181" s="4" t="s">
        <v>293</v>
      </c>
      <c r="C181" s="1"/>
      <c r="D181" s="1">
        <v>1000</v>
      </c>
      <c r="E181" s="1"/>
      <c r="F181" s="1">
        <v>1000</v>
      </c>
      <c r="G181" s="1"/>
      <c r="H181" s="1"/>
    </row>
    <row r="182" spans="1:8" s="28" customFormat="1" ht="26.1" customHeight="1" x14ac:dyDescent="0.25">
      <c r="A182" s="26" t="s">
        <v>419</v>
      </c>
      <c r="B182" s="4" t="s">
        <v>80</v>
      </c>
      <c r="C182" s="1"/>
      <c r="D182" s="1">
        <v>7391</v>
      </c>
      <c r="E182" s="1"/>
      <c r="F182" s="1">
        <v>8100</v>
      </c>
      <c r="G182" s="1"/>
      <c r="H182" s="1"/>
    </row>
    <row r="183" spans="1:8" s="28" customFormat="1" ht="26.1" customHeight="1" x14ac:dyDescent="0.25">
      <c r="A183" s="26" t="s">
        <v>420</v>
      </c>
      <c r="B183" s="4" t="s">
        <v>81</v>
      </c>
      <c r="C183" s="1"/>
      <c r="D183" s="1">
        <v>1643</v>
      </c>
      <c r="E183" s="1"/>
      <c r="F183" s="1">
        <v>1700</v>
      </c>
      <c r="G183" s="1"/>
      <c r="H183" s="1"/>
    </row>
    <row r="184" spans="1:8" s="28" customFormat="1" ht="26.1" customHeight="1" x14ac:dyDescent="0.25">
      <c r="A184" s="26" t="s">
        <v>421</v>
      </c>
      <c r="B184" s="4" t="s">
        <v>394</v>
      </c>
      <c r="C184" s="1"/>
      <c r="D184" s="1">
        <v>3000</v>
      </c>
      <c r="E184" s="1"/>
      <c r="F184" s="1">
        <v>8000</v>
      </c>
      <c r="G184" s="1"/>
      <c r="H184" s="1"/>
    </row>
    <row r="185" spans="1:8" s="28" customFormat="1" ht="26.1" customHeight="1" x14ac:dyDescent="0.25">
      <c r="A185" s="26" t="s">
        <v>422</v>
      </c>
      <c r="B185" s="4" t="s">
        <v>400</v>
      </c>
      <c r="C185" s="1"/>
      <c r="D185" s="1"/>
      <c r="E185" s="1"/>
      <c r="F185" s="1">
        <v>35000</v>
      </c>
      <c r="G185" s="1"/>
      <c r="H185" s="1"/>
    </row>
    <row r="186" spans="1:8" s="28" customFormat="1" ht="26.1" customHeight="1" x14ac:dyDescent="0.25">
      <c r="A186" s="26" t="s">
        <v>423</v>
      </c>
      <c r="B186" s="4" t="s">
        <v>82</v>
      </c>
      <c r="C186" s="1"/>
      <c r="D186" s="1">
        <v>4500</v>
      </c>
      <c r="E186" s="1"/>
      <c r="F186" s="1">
        <v>5000</v>
      </c>
      <c r="G186" s="1"/>
      <c r="H186" s="1"/>
    </row>
    <row r="187" spans="1:8" s="28" customFormat="1" ht="26.1" customHeight="1" x14ac:dyDescent="0.25">
      <c r="A187" s="26" t="s">
        <v>424</v>
      </c>
      <c r="B187" s="4" t="s">
        <v>369</v>
      </c>
      <c r="C187" s="1"/>
      <c r="D187" s="1">
        <v>18000</v>
      </c>
      <c r="E187" s="1"/>
      <c r="F187" s="1">
        <v>13131</v>
      </c>
      <c r="G187" s="1"/>
      <c r="H187" s="1"/>
    </row>
    <row r="188" spans="1:8" s="28" customFormat="1" ht="26.1" customHeight="1" x14ac:dyDescent="0.25">
      <c r="A188" s="26" t="s">
        <v>425</v>
      </c>
      <c r="B188" s="4" t="s">
        <v>83</v>
      </c>
      <c r="C188" s="1"/>
      <c r="D188" s="1">
        <v>5000</v>
      </c>
      <c r="E188" s="1"/>
      <c r="F188" s="1">
        <v>5000</v>
      </c>
      <c r="G188" s="1"/>
      <c r="H188" s="1"/>
    </row>
    <row r="189" spans="1:8" s="28" customFormat="1" ht="26.1" customHeight="1" x14ac:dyDescent="0.25">
      <c r="A189" s="46" t="s">
        <v>426</v>
      </c>
      <c r="B189" s="4" t="s">
        <v>387</v>
      </c>
      <c r="C189" s="1"/>
      <c r="D189" s="1">
        <f>12459+123000</f>
        <v>135459</v>
      </c>
      <c r="E189" s="1">
        <f>F189+G189+H189</f>
        <v>141187</v>
      </c>
      <c r="F189" s="1">
        <v>85656</v>
      </c>
      <c r="G189" s="1">
        <v>55531</v>
      </c>
      <c r="H189" s="1"/>
    </row>
    <row r="190" spans="1:8" s="28" customFormat="1" ht="26.1" customHeight="1" x14ac:dyDescent="0.25">
      <c r="A190" s="26" t="s">
        <v>427</v>
      </c>
      <c r="B190" s="4" t="s">
        <v>159</v>
      </c>
      <c r="C190" s="1">
        <v>48900</v>
      </c>
      <c r="D190" s="1">
        <v>48900</v>
      </c>
      <c r="E190" s="1">
        <f>F190+G190+H190</f>
        <v>64971</v>
      </c>
      <c r="F190" s="1"/>
      <c r="G190" s="1">
        <v>64971</v>
      </c>
      <c r="H190" s="1"/>
    </row>
    <row r="191" spans="1:8" s="28" customFormat="1" ht="26.1" customHeight="1" x14ac:dyDescent="0.25">
      <c r="A191" s="26" t="s">
        <v>428</v>
      </c>
      <c r="B191" s="4" t="s">
        <v>401</v>
      </c>
      <c r="C191" s="1"/>
      <c r="D191" s="1"/>
      <c r="E191" s="1"/>
      <c r="F191" s="1">
        <v>20000</v>
      </c>
      <c r="G191" s="1"/>
      <c r="H191" s="1"/>
    </row>
    <row r="192" spans="1:8" s="28" customFormat="1" ht="26.1" customHeight="1" x14ac:dyDescent="0.25">
      <c r="A192" s="46" t="s">
        <v>429</v>
      </c>
      <c r="B192" s="4" t="s">
        <v>376</v>
      </c>
      <c r="C192" s="1"/>
      <c r="D192" s="1"/>
      <c r="E192" s="1"/>
      <c r="F192" s="1">
        <v>20000</v>
      </c>
      <c r="G192" s="1"/>
      <c r="H192" s="1"/>
    </row>
    <row r="193" spans="1:8" s="28" customFormat="1" ht="26.1" customHeight="1" x14ac:dyDescent="0.25">
      <c r="A193" s="46" t="s">
        <v>438</v>
      </c>
      <c r="B193" s="4" t="s">
        <v>467</v>
      </c>
      <c r="C193" s="1"/>
      <c r="D193" s="1"/>
      <c r="E193" s="1"/>
      <c r="F193" s="1">
        <v>3000</v>
      </c>
      <c r="G193" s="1"/>
      <c r="H193" s="1"/>
    </row>
    <row r="194" spans="1:8" s="28" customFormat="1" ht="26.1" customHeight="1" x14ac:dyDescent="0.2">
      <c r="A194" s="47">
        <v>12</v>
      </c>
      <c r="B194" s="25" t="s">
        <v>84</v>
      </c>
      <c r="C194" s="2">
        <v>57332</v>
      </c>
      <c r="D194" s="2">
        <v>16660</v>
      </c>
      <c r="E194" s="2">
        <f>F194+G194+H194</f>
        <v>104120</v>
      </c>
      <c r="F194" s="2">
        <f>SUM(F196:F199)</f>
        <v>45960</v>
      </c>
      <c r="G194" s="2">
        <f>28160+30000</f>
        <v>58160</v>
      </c>
      <c r="H194" s="2"/>
    </row>
    <row r="195" spans="1:8" s="28" customFormat="1" ht="26.1" customHeight="1" x14ac:dyDescent="0.25">
      <c r="A195" s="47"/>
      <c r="B195" s="4" t="s">
        <v>57</v>
      </c>
      <c r="C195" s="2"/>
      <c r="D195" s="2"/>
      <c r="E195" s="2"/>
      <c r="F195" s="2"/>
      <c r="G195" s="2"/>
      <c r="H195" s="2"/>
    </row>
    <row r="196" spans="1:8" s="28" customFormat="1" ht="26.1" customHeight="1" x14ac:dyDescent="0.25">
      <c r="A196" s="48"/>
      <c r="B196" s="4" t="s">
        <v>294</v>
      </c>
      <c r="C196" s="1"/>
      <c r="D196" s="1">
        <v>5960</v>
      </c>
      <c r="E196" s="1"/>
      <c r="F196" s="1">
        <v>5960</v>
      </c>
      <c r="G196" s="1"/>
      <c r="H196" s="1"/>
    </row>
    <row r="197" spans="1:8" s="41" customFormat="1" ht="39" customHeight="1" x14ac:dyDescent="0.25">
      <c r="A197" s="40"/>
      <c r="B197" s="29" t="s">
        <v>85</v>
      </c>
      <c r="C197" s="23"/>
      <c r="D197" s="1">
        <v>2000</v>
      </c>
      <c r="E197" s="23"/>
      <c r="F197" s="1">
        <v>5000</v>
      </c>
      <c r="G197" s="23"/>
      <c r="H197" s="23"/>
    </row>
    <row r="198" spans="1:8" s="28" customFormat="1" ht="26.1" customHeight="1" x14ac:dyDescent="0.25">
      <c r="A198" s="48"/>
      <c r="B198" s="4" t="s">
        <v>374</v>
      </c>
      <c r="C198" s="1"/>
      <c r="D198" s="1"/>
      <c r="E198" s="1"/>
      <c r="F198" s="1">
        <v>25000</v>
      </c>
      <c r="G198" s="1">
        <v>30000</v>
      </c>
      <c r="H198" s="1"/>
    </row>
    <row r="199" spans="1:8" s="28" customFormat="1" ht="26.1" customHeight="1" x14ac:dyDescent="0.25">
      <c r="A199" s="48"/>
      <c r="B199" s="4" t="s">
        <v>375</v>
      </c>
      <c r="C199" s="1"/>
      <c r="D199" s="1"/>
      <c r="E199" s="1"/>
      <c r="F199" s="1">
        <v>10000</v>
      </c>
      <c r="G199" s="1"/>
      <c r="H199" s="1"/>
    </row>
    <row r="200" spans="1:8" s="42" customFormat="1" ht="30" customHeight="1" x14ac:dyDescent="0.2">
      <c r="A200" s="37">
        <v>13</v>
      </c>
      <c r="B200" s="25" t="s">
        <v>345</v>
      </c>
      <c r="C200" s="2">
        <v>56478</v>
      </c>
      <c r="D200" s="2">
        <v>56478</v>
      </c>
      <c r="E200" s="2">
        <f t="shared" ref="E200:E211" si="3">F200+G200+H200</f>
        <v>90000</v>
      </c>
      <c r="F200" s="2">
        <f>40000+50000</f>
        <v>90000</v>
      </c>
      <c r="G200" s="2"/>
      <c r="H200" s="2"/>
    </row>
    <row r="201" spans="1:8" s="42" customFormat="1" ht="30" customHeight="1" x14ac:dyDescent="0.2">
      <c r="A201" s="37">
        <v>14</v>
      </c>
      <c r="B201" s="25" t="s">
        <v>151</v>
      </c>
      <c r="C201" s="2">
        <v>20000</v>
      </c>
      <c r="D201" s="2">
        <v>20000</v>
      </c>
      <c r="E201" s="2">
        <f t="shared" si="3"/>
        <v>25000</v>
      </c>
      <c r="F201" s="2">
        <v>25000</v>
      </c>
      <c r="G201" s="2"/>
      <c r="H201" s="2"/>
    </row>
    <row r="202" spans="1:8" s="42" customFormat="1" ht="30" customHeight="1" x14ac:dyDescent="0.2">
      <c r="A202" s="37">
        <v>15</v>
      </c>
      <c r="B202" s="25" t="s">
        <v>152</v>
      </c>
      <c r="C202" s="2">
        <v>40000</v>
      </c>
      <c r="D202" s="2">
        <v>40000</v>
      </c>
      <c r="E202" s="2">
        <f t="shared" si="3"/>
        <v>40000</v>
      </c>
      <c r="F202" s="2">
        <v>40000</v>
      </c>
      <c r="G202" s="2"/>
      <c r="H202" s="2"/>
    </row>
    <row r="203" spans="1:8" s="42" customFormat="1" ht="30" customHeight="1" x14ac:dyDescent="0.2">
      <c r="A203" s="37">
        <v>16</v>
      </c>
      <c r="B203" s="25" t="s">
        <v>153</v>
      </c>
      <c r="C203" s="2">
        <v>15000</v>
      </c>
      <c r="D203" s="2">
        <v>1500</v>
      </c>
      <c r="E203" s="2">
        <f>F203+G203+H203</f>
        <v>1500</v>
      </c>
      <c r="F203" s="2">
        <v>1500</v>
      </c>
      <c r="G203" s="2"/>
      <c r="H203" s="2"/>
    </row>
    <row r="204" spans="1:8" s="42" customFormat="1" ht="36.75" customHeight="1" x14ac:dyDescent="0.2">
      <c r="A204" s="37">
        <v>17</v>
      </c>
      <c r="B204" s="25" t="s">
        <v>390</v>
      </c>
      <c r="C204" s="2"/>
      <c r="D204" s="2"/>
      <c r="E204" s="2">
        <f>F204+G204+H204</f>
        <v>20000</v>
      </c>
      <c r="F204" s="2">
        <v>20000</v>
      </c>
      <c r="G204" s="2"/>
      <c r="H204" s="2"/>
    </row>
    <row r="205" spans="1:8" s="42" customFormat="1" ht="35.25" customHeight="1" x14ac:dyDescent="0.2">
      <c r="A205" s="37">
        <v>18</v>
      </c>
      <c r="B205" s="25" t="s">
        <v>395</v>
      </c>
      <c r="C205" s="2"/>
      <c r="D205" s="2"/>
      <c r="E205" s="2">
        <v>5000</v>
      </c>
      <c r="F205" s="2">
        <v>5000</v>
      </c>
      <c r="G205" s="2"/>
      <c r="H205" s="2"/>
    </row>
    <row r="206" spans="1:8" s="42" customFormat="1" ht="30" customHeight="1" x14ac:dyDescent="0.2">
      <c r="A206" s="37">
        <v>19</v>
      </c>
      <c r="B206" s="25" t="s">
        <v>154</v>
      </c>
      <c r="C206" s="2">
        <v>1200</v>
      </c>
      <c r="D206" s="2">
        <v>1200</v>
      </c>
      <c r="E206" s="2">
        <f>F206+G206+H206</f>
        <v>1200</v>
      </c>
      <c r="F206" s="2">
        <v>1200</v>
      </c>
      <c r="G206" s="2"/>
      <c r="H206" s="2"/>
    </row>
    <row r="207" spans="1:8" s="42" customFormat="1" ht="30" customHeight="1" x14ac:dyDescent="0.2">
      <c r="A207" s="37">
        <v>20</v>
      </c>
      <c r="B207" s="25" t="s">
        <v>155</v>
      </c>
      <c r="C207" s="2">
        <v>20000</v>
      </c>
      <c r="D207" s="2">
        <v>20000</v>
      </c>
      <c r="E207" s="2">
        <f>F207+G207+H207</f>
        <v>50000</v>
      </c>
      <c r="F207" s="2">
        <v>50000</v>
      </c>
      <c r="G207" s="2"/>
      <c r="H207" s="2"/>
    </row>
    <row r="208" spans="1:8" s="42" customFormat="1" ht="30" customHeight="1" x14ac:dyDescent="0.2">
      <c r="A208" s="37">
        <v>21</v>
      </c>
      <c r="B208" s="25" t="s">
        <v>156</v>
      </c>
      <c r="C208" s="2">
        <v>170972</v>
      </c>
      <c r="D208" s="2">
        <v>20000</v>
      </c>
      <c r="E208" s="2">
        <f t="shared" si="3"/>
        <v>61720</v>
      </c>
      <c r="F208" s="2">
        <v>30000</v>
      </c>
      <c r="G208" s="2">
        <v>23237</v>
      </c>
      <c r="H208" s="2">
        <v>8483</v>
      </c>
    </row>
    <row r="209" spans="1:8" s="42" customFormat="1" ht="30" customHeight="1" x14ac:dyDescent="0.2">
      <c r="A209" s="37">
        <v>22</v>
      </c>
      <c r="B209" s="25" t="s">
        <v>574</v>
      </c>
      <c r="C209" s="2">
        <v>14300</v>
      </c>
      <c r="D209" s="2">
        <v>14300</v>
      </c>
      <c r="E209" s="2">
        <f t="shared" si="3"/>
        <v>14000</v>
      </c>
      <c r="F209" s="2">
        <v>14000</v>
      </c>
      <c r="G209" s="2"/>
      <c r="H209" s="2"/>
    </row>
    <row r="210" spans="1:8" s="42" customFormat="1" ht="30" customHeight="1" x14ac:dyDescent="0.2">
      <c r="A210" s="37">
        <v>23</v>
      </c>
      <c r="B210" s="25" t="s">
        <v>403</v>
      </c>
      <c r="C210" s="2">
        <v>23000</v>
      </c>
      <c r="D210" s="2">
        <v>23000</v>
      </c>
      <c r="E210" s="2">
        <f t="shared" si="3"/>
        <v>23000</v>
      </c>
      <c r="F210" s="2">
        <v>23000</v>
      </c>
      <c r="G210" s="2"/>
      <c r="H210" s="2"/>
    </row>
    <row r="211" spans="1:8" s="42" customFormat="1" ht="30" customHeight="1" x14ac:dyDescent="0.2">
      <c r="A211" s="37">
        <v>24</v>
      </c>
      <c r="B211" s="25" t="s">
        <v>435</v>
      </c>
      <c r="C211" s="2">
        <v>75270</v>
      </c>
      <c r="D211" s="2">
        <v>44228</v>
      </c>
      <c r="E211" s="2">
        <f t="shared" si="3"/>
        <v>48810</v>
      </c>
      <c r="F211" s="2">
        <f>F212+F213+F215+F214</f>
        <v>48810</v>
      </c>
      <c r="G211" s="2"/>
      <c r="H211" s="2"/>
    </row>
    <row r="212" spans="1:8" s="28" customFormat="1" ht="26.1" customHeight="1" x14ac:dyDescent="0.25">
      <c r="A212" s="26"/>
      <c r="B212" s="4" t="s">
        <v>157</v>
      </c>
      <c r="C212" s="1"/>
      <c r="D212" s="1">
        <v>13500</v>
      </c>
      <c r="E212" s="1"/>
      <c r="F212" s="1">
        <v>13500</v>
      </c>
      <c r="G212" s="1"/>
      <c r="H212" s="1"/>
    </row>
    <row r="213" spans="1:8" s="28" customFormat="1" ht="26.1" customHeight="1" x14ac:dyDescent="0.25">
      <c r="A213" s="26"/>
      <c r="B213" s="4" t="s">
        <v>307</v>
      </c>
      <c r="C213" s="1"/>
      <c r="D213" s="1">
        <v>12310</v>
      </c>
      <c r="E213" s="1"/>
      <c r="F213" s="1">
        <v>12310</v>
      </c>
      <c r="G213" s="1"/>
      <c r="H213" s="1"/>
    </row>
    <row r="214" spans="1:8" s="28" customFormat="1" ht="26.1" customHeight="1" x14ac:dyDescent="0.25">
      <c r="A214" s="26"/>
      <c r="B214" s="4" t="s">
        <v>412</v>
      </c>
      <c r="C214" s="1"/>
      <c r="D214" s="1"/>
      <c r="E214" s="1"/>
      <c r="F214" s="1">
        <v>5000</v>
      </c>
      <c r="G214" s="1"/>
      <c r="H214" s="1"/>
    </row>
    <row r="215" spans="1:8" s="28" customFormat="1" ht="26.1" customHeight="1" x14ac:dyDescent="0.25">
      <c r="A215" s="26"/>
      <c r="B215" s="4" t="s">
        <v>158</v>
      </c>
      <c r="C215" s="1"/>
      <c r="D215" s="1">
        <v>18418</v>
      </c>
      <c r="E215" s="1"/>
      <c r="F215" s="1">
        <v>18000</v>
      </c>
      <c r="G215" s="1"/>
      <c r="H215" s="1"/>
    </row>
    <row r="216" spans="1:8" s="42" customFormat="1" ht="24.95" hidden="1" customHeight="1" x14ac:dyDescent="0.2">
      <c r="A216" s="37" t="s">
        <v>160</v>
      </c>
      <c r="B216" s="25" t="s">
        <v>161</v>
      </c>
      <c r="C216" s="2">
        <f>D216</f>
        <v>1592000</v>
      </c>
      <c r="D216" s="2">
        <f>D217+D246+D253+D263+D270+D274+D278+D286+D296+D307+D310</f>
        <v>1592000</v>
      </c>
      <c r="E216" s="2"/>
      <c r="F216" s="2"/>
      <c r="G216" s="2"/>
      <c r="H216" s="2"/>
    </row>
    <row r="217" spans="1:8" s="42" customFormat="1" ht="24.95" hidden="1" customHeight="1" x14ac:dyDescent="0.2">
      <c r="A217" s="37">
        <v>1</v>
      </c>
      <c r="B217" s="25" t="s">
        <v>162</v>
      </c>
      <c r="C217" s="2"/>
      <c r="D217" s="2">
        <f>SUM(D218:D245)-D230</f>
        <v>671500</v>
      </c>
      <c r="E217" s="2"/>
      <c r="F217" s="2"/>
      <c r="G217" s="2"/>
      <c r="H217" s="2"/>
    </row>
    <row r="218" spans="1:8" s="28" customFormat="1" ht="24.95" hidden="1" customHeight="1" x14ac:dyDescent="0.25">
      <c r="A218" s="26"/>
      <c r="B218" s="4" t="s">
        <v>163</v>
      </c>
      <c r="C218" s="1"/>
      <c r="D218" s="30">
        <v>10000</v>
      </c>
      <c r="E218" s="1"/>
      <c r="F218" s="30"/>
      <c r="G218" s="1"/>
      <c r="H218" s="1"/>
    </row>
    <row r="219" spans="1:8" s="28" customFormat="1" ht="24.95" hidden="1" customHeight="1" x14ac:dyDescent="0.25">
      <c r="A219" s="26"/>
      <c r="B219" s="4" t="s">
        <v>164</v>
      </c>
      <c r="C219" s="1"/>
      <c r="D219" s="30">
        <v>5000</v>
      </c>
      <c r="E219" s="1"/>
      <c r="F219" s="30"/>
      <c r="G219" s="1"/>
      <c r="H219" s="1"/>
    </row>
    <row r="220" spans="1:8" s="28" customFormat="1" ht="24.95" hidden="1" customHeight="1" x14ac:dyDescent="0.25">
      <c r="A220" s="26"/>
      <c r="B220" s="4" t="s">
        <v>165</v>
      </c>
      <c r="C220" s="1"/>
      <c r="D220" s="30">
        <v>30000</v>
      </c>
      <c r="E220" s="1"/>
      <c r="F220" s="30"/>
      <c r="G220" s="1"/>
      <c r="H220" s="1"/>
    </row>
    <row r="221" spans="1:8" s="28" customFormat="1" ht="24.95" hidden="1" customHeight="1" x14ac:dyDescent="0.25">
      <c r="A221" s="26"/>
      <c r="B221" s="4" t="s">
        <v>166</v>
      </c>
      <c r="C221" s="1"/>
      <c r="D221" s="30">
        <v>2000</v>
      </c>
      <c r="E221" s="1"/>
      <c r="F221" s="30"/>
      <c r="G221" s="1"/>
      <c r="H221" s="1"/>
    </row>
    <row r="222" spans="1:8" s="28" customFormat="1" ht="24.95" hidden="1" customHeight="1" x14ac:dyDescent="0.25">
      <c r="A222" s="26"/>
      <c r="B222" s="4" t="s">
        <v>167</v>
      </c>
      <c r="C222" s="1"/>
      <c r="D222" s="30">
        <v>30000</v>
      </c>
      <c r="E222" s="1"/>
      <c r="F222" s="30"/>
      <c r="G222" s="1"/>
      <c r="H222" s="1"/>
    </row>
    <row r="223" spans="1:8" s="28" customFormat="1" ht="24.95" hidden="1" customHeight="1" x14ac:dyDescent="0.25">
      <c r="A223" s="26"/>
      <c r="B223" s="4" t="s">
        <v>168</v>
      </c>
      <c r="C223" s="1"/>
      <c r="D223" s="30">
        <f>20000+5000</f>
        <v>25000</v>
      </c>
      <c r="E223" s="1"/>
      <c r="F223" s="30"/>
      <c r="G223" s="1"/>
      <c r="H223" s="1"/>
    </row>
    <row r="224" spans="1:8" s="28" customFormat="1" ht="24.95" hidden="1" customHeight="1" x14ac:dyDescent="0.25">
      <c r="A224" s="26"/>
      <c r="B224" s="4" t="s">
        <v>169</v>
      </c>
      <c r="C224" s="1"/>
      <c r="D224" s="30">
        <v>0</v>
      </c>
      <c r="E224" s="1"/>
      <c r="F224" s="30"/>
      <c r="G224" s="1"/>
      <c r="H224" s="1"/>
    </row>
    <row r="225" spans="1:8" s="28" customFormat="1" ht="24.95" hidden="1" customHeight="1" x14ac:dyDescent="0.25">
      <c r="A225" s="26"/>
      <c r="B225" s="4" t="s">
        <v>170</v>
      </c>
      <c r="C225" s="1"/>
      <c r="D225" s="30">
        <v>10000</v>
      </c>
      <c r="E225" s="1"/>
      <c r="F225" s="30"/>
      <c r="G225" s="1"/>
      <c r="H225" s="1"/>
    </row>
    <row r="226" spans="1:8" s="28" customFormat="1" ht="24.95" hidden="1" customHeight="1" x14ac:dyDescent="0.25">
      <c r="A226" s="26"/>
      <c r="B226" s="4" t="s">
        <v>171</v>
      </c>
      <c r="C226" s="1"/>
      <c r="D226" s="30">
        <v>250000</v>
      </c>
      <c r="E226" s="1"/>
      <c r="F226" s="30"/>
      <c r="G226" s="1"/>
      <c r="H226" s="1"/>
    </row>
    <row r="227" spans="1:8" s="27" customFormat="1" ht="42.6" hidden="1" customHeight="1" x14ac:dyDescent="0.25">
      <c r="A227" s="45"/>
      <c r="B227" s="4" t="s">
        <v>356</v>
      </c>
      <c r="C227" s="4"/>
      <c r="D227" s="30">
        <v>125000</v>
      </c>
      <c r="E227" s="4"/>
      <c r="F227" s="30"/>
      <c r="G227" s="4"/>
      <c r="H227" s="4"/>
    </row>
    <row r="228" spans="1:8" s="28" customFormat="1" ht="24.95" hidden="1" customHeight="1" x14ac:dyDescent="0.25">
      <c r="A228" s="46"/>
      <c r="B228" s="4" t="s">
        <v>319</v>
      </c>
      <c r="C228" s="1"/>
      <c r="D228" s="30">
        <v>45000</v>
      </c>
      <c r="E228" s="1"/>
      <c r="F228" s="30"/>
      <c r="G228" s="1"/>
      <c r="H228" s="1"/>
    </row>
    <row r="229" spans="1:8" s="50" customFormat="1" ht="28.15" hidden="1" customHeight="1" x14ac:dyDescent="0.25">
      <c r="A229" s="52"/>
      <c r="B229" s="4" t="s">
        <v>360</v>
      </c>
      <c r="C229" s="4"/>
      <c r="D229" s="30">
        <v>20000</v>
      </c>
      <c r="E229" s="4"/>
      <c r="F229" s="30"/>
      <c r="G229" s="4"/>
      <c r="H229" s="4"/>
    </row>
    <row r="230" spans="1:8" s="51" customFormat="1" ht="24.95" hidden="1" customHeight="1" x14ac:dyDescent="0.25">
      <c r="A230" s="46"/>
      <c r="B230" s="4" t="s">
        <v>172</v>
      </c>
      <c r="C230" s="1"/>
      <c r="D230" s="30">
        <f>SUM(D231:D234)</f>
        <v>39500</v>
      </c>
      <c r="E230" s="1"/>
      <c r="F230" s="30"/>
      <c r="G230" s="1"/>
      <c r="H230" s="1"/>
    </row>
    <row r="231" spans="1:8" s="55" customFormat="1" ht="24.95" hidden="1" customHeight="1" x14ac:dyDescent="0.25">
      <c r="A231" s="53"/>
      <c r="B231" s="33" t="s">
        <v>173</v>
      </c>
      <c r="C231" s="23"/>
      <c r="D231" s="31">
        <v>20500</v>
      </c>
      <c r="E231" s="23"/>
      <c r="F231" s="31"/>
      <c r="G231" s="23"/>
      <c r="H231" s="23"/>
    </row>
    <row r="232" spans="1:8" s="55" customFormat="1" ht="24.95" hidden="1" customHeight="1" x14ac:dyDescent="0.25">
      <c r="A232" s="53"/>
      <c r="B232" s="33" t="s">
        <v>174</v>
      </c>
      <c r="C232" s="23"/>
      <c r="D232" s="31">
        <v>8000</v>
      </c>
      <c r="E232" s="23"/>
      <c r="F232" s="31"/>
      <c r="G232" s="23"/>
      <c r="H232" s="23"/>
    </row>
    <row r="233" spans="1:8" s="55" customFormat="1" ht="24.95" hidden="1" customHeight="1" x14ac:dyDescent="0.25">
      <c r="A233" s="53"/>
      <c r="B233" s="33" t="s">
        <v>320</v>
      </c>
      <c r="C233" s="23"/>
      <c r="D233" s="31">
        <v>8000</v>
      </c>
      <c r="E233" s="23"/>
      <c r="F233" s="31"/>
      <c r="G233" s="23"/>
      <c r="H233" s="23"/>
    </row>
    <row r="234" spans="1:8" s="55" customFormat="1" ht="24.95" hidden="1" customHeight="1" x14ac:dyDescent="0.25">
      <c r="A234" s="53"/>
      <c r="B234" s="33" t="s">
        <v>175</v>
      </c>
      <c r="C234" s="23"/>
      <c r="D234" s="31">
        <v>3000</v>
      </c>
      <c r="E234" s="23"/>
      <c r="F234" s="31"/>
      <c r="G234" s="23"/>
      <c r="H234" s="23"/>
    </row>
    <row r="235" spans="1:8" s="55" customFormat="1" ht="24.95" hidden="1" customHeight="1" x14ac:dyDescent="0.25">
      <c r="A235" s="53"/>
      <c r="B235" s="4" t="s">
        <v>176</v>
      </c>
      <c r="C235" s="1"/>
      <c r="D235" s="30">
        <v>5000</v>
      </c>
      <c r="E235" s="1"/>
      <c r="F235" s="30"/>
      <c r="G235" s="1"/>
      <c r="H235" s="1"/>
    </row>
    <row r="236" spans="1:8" s="55" customFormat="1" ht="24.95" hidden="1" customHeight="1" x14ac:dyDescent="0.25">
      <c r="A236" s="53"/>
      <c r="B236" s="4" t="s">
        <v>177</v>
      </c>
      <c r="C236" s="1"/>
      <c r="D236" s="30">
        <v>7000</v>
      </c>
      <c r="E236" s="1"/>
      <c r="F236" s="30"/>
      <c r="G236" s="1"/>
      <c r="H236" s="1"/>
    </row>
    <row r="237" spans="1:8" s="55" customFormat="1" ht="24.95" hidden="1" customHeight="1" x14ac:dyDescent="0.25">
      <c r="A237" s="53"/>
      <c r="B237" s="4" t="s">
        <v>179</v>
      </c>
      <c r="C237" s="1"/>
      <c r="D237" s="30">
        <v>2000</v>
      </c>
      <c r="E237" s="1"/>
      <c r="F237" s="30"/>
      <c r="G237" s="1"/>
      <c r="H237" s="1"/>
    </row>
    <row r="238" spans="1:8" s="55" customFormat="1" ht="24.95" hidden="1" customHeight="1" x14ac:dyDescent="0.25">
      <c r="A238" s="53"/>
      <c r="B238" s="4" t="s">
        <v>180</v>
      </c>
      <c r="C238" s="1"/>
      <c r="D238" s="30">
        <v>14000</v>
      </c>
      <c r="E238" s="1"/>
      <c r="F238" s="30"/>
      <c r="G238" s="1"/>
      <c r="H238" s="1"/>
    </row>
    <row r="239" spans="1:8" s="55" customFormat="1" ht="24.95" hidden="1" customHeight="1" x14ac:dyDescent="0.25">
      <c r="A239" s="53"/>
      <c r="B239" s="4" t="s">
        <v>181</v>
      </c>
      <c r="C239" s="1"/>
      <c r="D239" s="30"/>
      <c r="E239" s="1"/>
      <c r="F239" s="30"/>
      <c r="G239" s="1"/>
      <c r="H239" s="1"/>
    </row>
    <row r="240" spans="1:8" s="55" customFormat="1" ht="24.95" hidden="1" customHeight="1" x14ac:dyDescent="0.25">
      <c r="A240" s="53"/>
      <c r="B240" s="4" t="s">
        <v>182</v>
      </c>
      <c r="C240" s="1"/>
      <c r="D240" s="30">
        <v>20000</v>
      </c>
      <c r="E240" s="1"/>
      <c r="F240" s="30"/>
      <c r="G240" s="1"/>
      <c r="H240" s="1"/>
    </row>
    <row r="241" spans="1:8" s="55" customFormat="1" ht="24.95" hidden="1" customHeight="1" x14ac:dyDescent="0.25">
      <c r="A241" s="53"/>
      <c r="B241" s="4" t="s">
        <v>183</v>
      </c>
      <c r="C241" s="1"/>
      <c r="D241" s="30">
        <v>20000</v>
      </c>
      <c r="E241" s="1"/>
      <c r="F241" s="30"/>
      <c r="G241" s="1"/>
      <c r="H241" s="1"/>
    </row>
    <row r="242" spans="1:8" s="55" customFormat="1" ht="24.95" hidden="1" customHeight="1" x14ac:dyDescent="0.25">
      <c r="A242" s="53"/>
      <c r="B242" s="4" t="s">
        <v>184</v>
      </c>
      <c r="C242" s="1"/>
      <c r="D242" s="30">
        <v>5000</v>
      </c>
      <c r="E242" s="1"/>
      <c r="F242" s="30"/>
      <c r="G242" s="1"/>
      <c r="H242" s="1"/>
    </row>
    <row r="243" spans="1:8" s="55" customFormat="1" ht="24.95" hidden="1" customHeight="1" x14ac:dyDescent="0.25">
      <c r="A243" s="53"/>
      <c r="B243" s="4" t="s">
        <v>185</v>
      </c>
      <c r="C243" s="1"/>
      <c r="D243" s="30">
        <v>7000</v>
      </c>
      <c r="E243" s="1"/>
      <c r="F243" s="30"/>
      <c r="G243" s="1"/>
      <c r="H243" s="1"/>
    </row>
    <row r="244" spans="1:8" s="55" customFormat="1" ht="24.95" hidden="1" customHeight="1" x14ac:dyDescent="0.25">
      <c r="A244" s="53"/>
      <c r="B244" s="4" t="s">
        <v>186</v>
      </c>
      <c r="C244" s="1"/>
      <c r="D244" s="30">
        <v>0</v>
      </c>
      <c r="E244" s="1"/>
      <c r="F244" s="30"/>
      <c r="G244" s="1"/>
      <c r="H244" s="1"/>
    </row>
    <row r="245" spans="1:8" s="54" customFormat="1" ht="22.9" hidden="1" customHeight="1" x14ac:dyDescent="0.25">
      <c r="A245" s="56"/>
      <c r="B245" s="4" t="s">
        <v>187</v>
      </c>
      <c r="C245" s="4"/>
      <c r="D245" s="30">
        <v>0</v>
      </c>
      <c r="E245" s="4"/>
      <c r="F245" s="30"/>
      <c r="G245" s="4"/>
      <c r="H245" s="4"/>
    </row>
    <row r="246" spans="1:8" s="42" customFormat="1" ht="24.95" hidden="1" customHeight="1" x14ac:dyDescent="0.2">
      <c r="A246" s="37">
        <v>2</v>
      </c>
      <c r="B246" s="25" t="s">
        <v>188</v>
      </c>
      <c r="C246" s="2"/>
      <c r="D246" s="2">
        <f>D247+D248+D249</f>
        <v>94000</v>
      </c>
      <c r="E246" s="2"/>
      <c r="F246" s="2"/>
      <c r="G246" s="2"/>
      <c r="H246" s="2"/>
    </row>
    <row r="247" spans="1:8" s="28" customFormat="1" ht="25.9" hidden="1" customHeight="1" x14ac:dyDescent="0.25">
      <c r="A247" s="48"/>
      <c r="B247" s="4" t="s">
        <v>321</v>
      </c>
      <c r="C247" s="1"/>
      <c r="D247" s="1">
        <v>50000</v>
      </c>
      <c r="E247" s="1"/>
      <c r="F247" s="1"/>
      <c r="G247" s="1"/>
      <c r="H247" s="1"/>
    </row>
    <row r="248" spans="1:8" s="28" customFormat="1" ht="30.75" hidden="1" customHeight="1" x14ac:dyDescent="0.25">
      <c r="A248" s="48"/>
      <c r="B248" s="4" t="s">
        <v>189</v>
      </c>
      <c r="C248" s="1"/>
      <c r="D248" s="1">
        <v>5000</v>
      </c>
      <c r="E248" s="1"/>
      <c r="F248" s="1"/>
      <c r="G248" s="1"/>
      <c r="H248" s="1"/>
    </row>
    <row r="249" spans="1:8" s="28" customFormat="1" ht="27.75" hidden="1" customHeight="1" x14ac:dyDescent="0.25">
      <c r="A249" s="48"/>
      <c r="B249" s="4" t="s">
        <v>190</v>
      </c>
      <c r="C249" s="1"/>
      <c r="D249" s="1">
        <f>D250+D251+D252</f>
        <v>39000</v>
      </c>
      <c r="E249" s="1"/>
      <c r="F249" s="1"/>
      <c r="G249" s="1"/>
      <c r="H249" s="1"/>
    </row>
    <row r="250" spans="1:8" s="28" customFormat="1" ht="24.95" hidden="1" customHeight="1" x14ac:dyDescent="0.25">
      <c r="A250" s="48"/>
      <c r="B250" s="33" t="s">
        <v>173</v>
      </c>
      <c r="C250" s="23"/>
      <c r="D250" s="23">
        <v>25000</v>
      </c>
      <c r="E250" s="23"/>
      <c r="F250" s="23"/>
      <c r="G250" s="1"/>
      <c r="H250" s="1"/>
    </row>
    <row r="251" spans="1:8" s="28" customFormat="1" ht="24.95" hidden="1" customHeight="1" x14ac:dyDescent="0.25">
      <c r="A251" s="48"/>
      <c r="B251" s="33" t="s">
        <v>174</v>
      </c>
      <c r="C251" s="23"/>
      <c r="D251" s="23">
        <v>7000</v>
      </c>
      <c r="E251" s="23"/>
      <c r="F251" s="23"/>
      <c r="G251" s="1"/>
      <c r="H251" s="1"/>
    </row>
    <row r="252" spans="1:8" s="28" customFormat="1" ht="24.95" hidden="1" customHeight="1" x14ac:dyDescent="0.25">
      <c r="A252" s="48"/>
      <c r="B252" s="33" t="s">
        <v>320</v>
      </c>
      <c r="C252" s="23"/>
      <c r="D252" s="23">
        <v>7000</v>
      </c>
      <c r="E252" s="23"/>
      <c r="F252" s="23"/>
      <c r="G252" s="1"/>
      <c r="H252" s="1"/>
    </row>
    <row r="253" spans="1:8" s="42" customFormat="1" ht="24.95" hidden="1" customHeight="1" x14ac:dyDescent="0.2">
      <c r="A253" s="37">
        <v>3</v>
      </c>
      <c r="B253" s="25" t="s">
        <v>191</v>
      </c>
      <c r="C253" s="2"/>
      <c r="D253" s="2">
        <f>SUM(D254:D262)</f>
        <v>96000</v>
      </c>
      <c r="E253" s="2"/>
      <c r="F253" s="2"/>
      <c r="G253" s="2"/>
      <c r="H253" s="2"/>
    </row>
    <row r="254" spans="1:8" s="28" customFormat="1" ht="24.95" hidden="1" customHeight="1" x14ac:dyDescent="0.25">
      <c r="A254" s="26"/>
      <c r="B254" s="4" t="s">
        <v>192</v>
      </c>
      <c r="C254" s="1"/>
      <c r="D254" s="30">
        <f>10000+10000</f>
        <v>20000</v>
      </c>
      <c r="E254" s="1"/>
      <c r="F254" s="30"/>
      <c r="G254" s="1"/>
      <c r="H254" s="1"/>
    </row>
    <row r="255" spans="1:8" s="28" customFormat="1" ht="24.95" hidden="1" customHeight="1" x14ac:dyDescent="0.25">
      <c r="A255" s="26"/>
      <c r="B255" s="4" t="s">
        <v>193</v>
      </c>
      <c r="C255" s="1"/>
      <c r="D255" s="30">
        <v>5000</v>
      </c>
      <c r="E255" s="1"/>
      <c r="F255" s="30"/>
      <c r="G255" s="1"/>
      <c r="H255" s="1"/>
    </row>
    <row r="256" spans="1:8" s="28" customFormat="1" ht="24.95" hidden="1" customHeight="1" x14ac:dyDescent="0.25">
      <c r="A256" s="26"/>
      <c r="B256" s="4" t="s">
        <v>352</v>
      </c>
      <c r="C256" s="1"/>
      <c r="D256" s="30">
        <v>3000</v>
      </c>
      <c r="E256" s="1"/>
      <c r="F256" s="30"/>
      <c r="G256" s="1"/>
      <c r="H256" s="1"/>
    </row>
    <row r="257" spans="1:8" s="28" customFormat="1" ht="24.95" hidden="1" customHeight="1" x14ac:dyDescent="0.25">
      <c r="A257" s="26"/>
      <c r="B257" s="4" t="s">
        <v>353</v>
      </c>
      <c r="C257" s="1"/>
      <c r="D257" s="30">
        <v>3000</v>
      </c>
      <c r="E257" s="1"/>
      <c r="F257" s="30"/>
      <c r="G257" s="1"/>
      <c r="H257" s="1"/>
    </row>
    <row r="258" spans="1:8" s="28" customFormat="1" ht="24.95" hidden="1" customHeight="1" x14ac:dyDescent="0.25">
      <c r="A258" s="26"/>
      <c r="B258" s="29" t="s">
        <v>194</v>
      </c>
      <c r="C258" s="1"/>
      <c r="D258" s="30">
        <v>15000</v>
      </c>
      <c r="E258" s="1"/>
      <c r="F258" s="30"/>
      <c r="G258" s="1"/>
      <c r="H258" s="1"/>
    </row>
    <row r="259" spans="1:8" s="28" customFormat="1" ht="39" hidden="1" customHeight="1" x14ac:dyDescent="0.25">
      <c r="A259" s="26"/>
      <c r="B259" s="29" t="s">
        <v>195</v>
      </c>
      <c r="C259" s="1"/>
      <c r="D259" s="30">
        <v>25000</v>
      </c>
      <c r="E259" s="1"/>
      <c r="F259" s="30"/>
      <c r="G259" s="1"/>
      <c r="H259" s="1"/>
    </row>
    <row r="260" spans="1:8" s="28" customFormat="1" ht="27" hidden="1" customHeight="1" x14ac:dyDescent="0.25">
      <c r="A260" s="26"/>
      <c r="B260" s="29" t="s">
        <v>357</v>
      </c>
      <c r="C260" s="1"/>
      <c r="D260" s="30">
        <f>10000+2000</f>
        <v>12000</v>
      </c>
      <c r="E260" s="1"/>
      <c r="F260" s="30"/>
      <c r="G260" s="1"/>
      <c r="H260" s="1"/>
    </row>
    <row r="261" spans="1:8" s="28" customFormat="1" ht="26.25" hidden="1" customHeight="1" x14ac:dyDescent="0.25">
      <c r="A261" s="26"/>
      <c r="B261" s="4" t="s">
        <v>196</v>
      </c>
      <c r="C261" s="1"/>
      <c r="D261" s="30">
        <v>10000</v>
      </c>
      <c r="E261" s="1"/>
      <c r="F261" s="30"/>
      <c r="G261" s="1"/>
      <c r="H261" s="1"/>
    </row>
    <row r="262" spans="1:8" s="28" customFormat="1" ht="24.95" hidden="1" customHeight="1" x14ac:dyDescent="0.25">
      <c r="A262" s="26"/>
      <c r="B262" s="4" t="s">
        <v>197</v>
      </c>
      <c r="C262" s="1"/>
      <c r="D262" s="1">
        <v>3000</v>
      </c>
      <c r="E262" s="1"/>
      <c r="F262" s="1"/>
      <c r="G262" s="1"/>
      <c r="H262" s="1"/>
    </row>
    <row r="263" spans="1:8" s="42" customFormat="1" ht="24.95" hidden="1" customHeight="1" x14ac:dyDescent="0.2">
      <c r="A263" s="37">
        <v>4</v>
      </c>
      <c r="B263" s="25" t="s">
        <v>198</v>
      </c>
      <c r="C263" s="2"/>
      <c r="D263" s="2">
        <f>SUM(D264:D269)</f>
        <v>54500</v>
      </c>
      <c r="E263" s="2"/>
      <c r="F263" s="2"/>
      <c r="G263" s="2"/>
      <c r="H263" s="2"/>
    </row>
    <row r="264" spans="1:8" s="27" customFormat="1" ht="39" hidden="1" customHeight="1" x14ac:dyDescent="0.25">
      <c r="A264" s="45"/>
      <c r="B264" s="4" t="s">
        <v>354</v>
      </c>
      <c r="C264" s="4"/>
      <c r="D264" s="30">
        <v>35000</v>
      </c>
      <c r="E264" s="4"/>
      <c r="F264" s="30"/>
      <c r="G264" s="4"/>
      <c r="H264" s="4"/>
    </row>
    <row r="265" spans="1:8" s="27" customFormat="1" ht="19.899999999999999" hidden="1" customHeight="1" x14ac:dyDescent="0.25">
      <c r="A265" s="45"/>
      <c r="B265" s="4" t="s">
        <v>322</v>
      </c>
      <c r="C265" s="4"/>
      <c r="D265" s="30">
        <v>3000</v>
      </c>
      <c r="E265" s="4"/>
      <c r="F265" s="30"/>
      <c r="G265" s="4"/>
      <c r="H265" s="4"/>
    </row>
    <row r="266" spans="1:8" s="28" customFormat="1" ht="24.95" hidden="1" customHeight="1" x14ac:dyDescent="0.25">
      <c r="A266" s="26"/>
      <c r="B266" s="4" t="s">
        <v>199</v>
      </c>
      <c r="C266" s="1"/>
      <c r="D266" s="30">
        <v>3500</v>
      </c>
      <c r="E266" s="1"/>
      <c r="F266" s="30"/>
      <c r="G266" s="1"/>
      <c r="H266" s="1"/>
    </row>
    <row r="267" spans="1:8" s="28" customFormat="1" ht="24.95" hidden="1" customHeight="1" x14ac:dyDescent="0.25">
      <c r="A267" s="26" t="s">
        <v>200</v>
      </c>
      <c r="B267" s="4" t="s">
        <v>201</v>
      </c>
      <c r="C267" s="1"/>
      <c r="D267" s="30">
        <v>3000</v>
      </c>
      <c r="E267" s="1"/>
      <c r="F267" s="30"/>
      <c r="G267" s="1"/>
      <c r="H267" s="1"/>
    </row>
    <row r="268" spans="1:8" s="28" customFormat="1" ht="24.95" hidden="1" customHeight="1" x14ac:dyDescent="0.25">
      <c r="A268" s="26"/>
      <c r="B268" s="4" t="s">
        <v>202</v>
      </c>
      <c r="C268" s="1"/>
      <c r="D268" s="30">
        <v>0</v>
      </c>
      <c r="E268" s="1"/>
      <c r="F268" s="30"/>
      <c r="G268" s="1"/>
      <c r="H268" s="1"/>
    </row>
    <row r="269" spans="1:8" s="28" customFormat="1" ht="24.95" hidden="1" customHeight="1" x14ac:dyDescent="0.25">
      <c r="A269" s="26"/>
      <c r="B269" s="4" t="s">
        <v>203</v>
      </c>
      <c r="C269" s="1"/>
      <c r="D269" s="30">
        <v>10000</v>
      </c>
      <c r="E269" s="1"/>
      <c r="F269" s="30"/>
      <c r="G269" s="1"/>
      <c r="H269" s="1"/>
    </row>
    <row r="270" spans="1:8" s="42" customFormat="1" ht="24.95" hidden="1" customHeight="1" x14ac:dyDescent="0.2">
      <c r="A270" s="37">
        <v>5</v>
      </c>
      <c r="B270" s="25" t="s">
        <v>204</v>
      </c>
      <c r="C270" s="2"/>
      <c r="D270" s="2">
        <f>SUM(D271:D273)</f>
        <v>14000</v>
      </c>
      <c r="E270" s="2"/>
      <c r="F270" s="2"/>
      <c r="G270" s="2"/>
      <c r="H270" s="2"/>
    </row>
    <row r="271" spans="1:8" s="28" customFormat="1" ht="24.95" hidden="1" customHeight="1" x14ac:dyDescent="0.25">
      <c r="A271" s="26"/>
      <c r="B271" s="4" t="s">
        <v>205</v>
      </c>
      <c r="C271" s="1"/>
      <c r="D271" s="1">
        <v>12000</v>
      </c>
      <c r="E271" s="1"/>
      <c r="F271" s="1"/>
      <c r="G271" s="1"/>
      <c r="H271" s="1"/>
    </row>
    <row r="272" spans="1:8" s="28" customFormat="1" ht="24.95" hidden="1" customHeight="1" x14ac:dyDescent="0.25">
      <c r="A272" s="26"/>
      <c r="B272" s="4" t="s">
        <v>206</v>
      </c>
      <c r="C272" s="1"/>
      <c r="D272" s="1">
        <v>2000</v>
      </c>
      <c r="E272" s="1"/>
      <c r="F272" s="1"/>
      <c r="G272" s="1"/>
      <c r="H272" s="1"/>
    </row>
    <row r="273" spans="1:8" s="27" customFormat="1" ht="27" hidden="1" customHeight="1" x14ac:dyDescent="0.25">
      <c r="A273" s="45"/>
      <c r="B273" s="4" t="s">
        <v>207</v>
      </c>
      <c r="C273" s="4"/>
      <c r="D273" s="4">
        <v>0</v>
      </c>
      <c r="E273" s="4"/>
      <c r="F273" s="4"/>
      <c r="G273" s="4"/>
      <c r="H273" s="4"/>
    </row>
    <row r="274" spans="1:8" s="42" customFormat="1" ht="24.95" hidden="1" customHeight="1" x14ac:dyDescent="0.2">
      <c r="A274" s="37">
        <v>6</v>
      </c>
      <c r="B274" s="25" t="s">
        <v>208</v>
      </c>
      <c r="C274" s="2"/>
      <c r="D274" s="2">
        <f>D275+D276+D277</f>
        <v>0</v>
      </c>
      <c r="E274" s="2"/>
      <c r="F274" s="2"/>
      <c r="G274" s="2"/>
      <c r="H274" s="2"/>
    </row>
    <row r="275" spans="1:8" s="28" customFormat="1" ht="24.95" hidden="1" customHeight="1" x14ac:dyDescent="0.25">
      <c r="A275" s="26"/>
      <c r="B275" s="4" t="s">
        <v>209</v>
      </c>
      <c r="C275" s="1"/>
      <c r="D275" s="1">
        <v>0</v>
      </c>
      <c r="E275" s="1"/>
      <c r="F275" s="1"/>
      <c r="G275" s="1"/>
      <c r="H275" s="1"/>
    </row>
    <row r="276" spans="1:8" s="28" customFormat="1" ht="24.95" hidden="1" customHeight="1" x14ac:dyDescent="0.25">
      <c r="A276" s="26"/>
      <c r="B276" s="4" t="s">
        <v>210</v>
      </c>
      <c r="C276" s="1"/>
      <c r="D276" s="1">
        <v>0</v>
      </c>
      <c r="E276" s="1"/>
      <c r="F276" s="1"/>
      <c r="G276" s="1"/>
      <c r="H276" s="1"/>
    </row>
    <row r="277" spans="1:8" s="27" customFormat="1" ht="39" hidden="1" customHeight="1" x14ac:dyDescent="0.25">
      <c r="A277" s="45"/>
      <c r="B277" s="57" t="s">
        <v>211</v>
      </c>
      <c r="C277" s="4"/>
      <c r="D277" s="4">
        <v>0</v>
      </c>
      <c r="E277" s="4"/>
      <c r="F277" s="4"/>
      <c r="G277" s="4"/>
      <c r="H277" s="4"/>
    </row>
    <row r="278" spans="1:8" s="42" customFormat="1" ht="24.95" hidden="1" customHeight="1" x14ac:dyDescent="0.2">
      <c r="A278" s="37">
        <v>7</v>
      </c>
      <c r="B278" s="25" t="s">
        <v>212</v>
      </c>
      <c r="C278" s="2"/>
      <c r="D278" s="2">
        <f>SUM(D279:D285)</f>
        <v>24000</v>
      </c>
      <c r="E278" s="2"/>
      <c r="F278" s="2"/>
      <c r="G278" s="2"/>
      <c r="H278" s="2"/>
    </row>
    <row r="279" spans="1:8" s="28" customFormat="1" ht="43.15" hidden="1" customHeight="1" x14ac:dyDescent="0.25">
      <c r="A279" s="26"/>
      <c r="B279" s="4" t="s">
        <v>361</v>
      </c>
      <c r="C279" s="1"/>
      <c r="D279" s="1">
        <v>10000</v>
      </c>
      <c r="E279" s="1"/>
      <c r="F279" s="1"/>
      <c r="G279" s="1"/>
      <c r="H279" s="1"/>
    </row>
    <row r="280" spans="1:8" s="28" customFormat="1" ht="24.95" hidden="1" customHeight="1" x14ac:dyDescent="0.25">
      <c r="A280" s="26"/>
      <c r="B280" s="4" t="s">
        <v>213</v>
      </c>
      <c r="C280" s="1"/>
      <c r="D280" s="1">
        <v>7000</v>
      </c>
      <c r="E280" s="1"/>
      <c r="F280" s="1"/>
      <c r="G280" s="1"/>
      <c r="H280" s="1"/>
    </row>
    <row r="281" spans="1:8" s="28" customFormat="1" ht="24.95" hidden="1" customHeight="1" x14ac:dyDescent="0.25">
      <c r="A281" s="26"/>
      <c r="B281" s="4" t="s">
        <v>214</v>
      </c>
      <c r="C281" s="1"/>
      <c r="D281" s="1">
        <v>0</v>
      </c>
      <c r="E281" s="1"/>
      <c r="F281" s="1"/>
      <c r="G281" s="1"/>
      <c r="H281" s="1"/>
    </row>
    <row r="282" spans="1:8" s="27" customFormat="1" ht="24" hidden="1" customHeight="1" x14ac:dyDescent="0.25">
      <c r="A282" s="45"/>
      <c r="B282" s="4" t="s">
        <v>215</v>
      </c>
      <c r="C282" s="4"/>
      <c r="D282" s="4">
        <v>0</v>
      </c>
      <c r="E282" s="4"/>
      <c r="F282" s="4"/>
      <c r="G282" s="4"/>
      <c r="H282" s="4"/>
    </row>
    <row r="283" spans="1:8" s="27" customFormat="1" ht="39" hidden="1" customHeight="1" x14ac:dyDescent="0.25">
      <c r="A283" s="45"/>
      <c r="B283" s="4" t="s">
        <v>216</v>
      </c>
      <c r="C283" s="4"/>
      <c r="D283" s="4">
        <v>0</v>
      </c>
      <c r="E283" s="4"/>
      <c r="F283" s="4"/>
      <c r="G283" s="4"/>
      <c r="H283" s="4"/>
    </row>
    <row r="284" spans="1:8" s="28" customFormat="1" ht="24.95" hidden="1" customHeight="1" x14ac:dyDescent="0.25">
      <c r="A284" s="26"/>
      <c r="B284" s="4" t="s">
        <v>217</v>
      </c>
      <c r="C284" s="1"/>
      <c r="D284" s="1">
        <v>0</v>
      </c>
      <c r="E284" s="1"/>
      <c r="F284" s="1"/>
      <c r="G284" s="1"/>
      <c r="H284" s="1"/>
    </row>
    <row r="285" spans="1:8" s="28" customFormat="1" ht="39" hidden="1" customHeight="1" x14ac:dyDescent="0.25">
      <c r="A285" s="26"/>
      <c r="B285" s="57" t="s">
        <v>359</v>
      </c>
      <c r="C285" s="1"/>
      <c r="D285" s="1">
        <v>7000</v>
      </c>
      <c r="E285" s="1"/>
      <c r="F285" s="1"/>
      <c r="G285" s="1"/>
      <c r="H285" s="1"/>
    </row>
    <row r="286" spans="1:8" s="42" customFormat="1" ht="24.95" hidden="1" customHeight="1" x14ac:dyDescent="0.2">
      <c r="A286" s="37">
        <v>8</v>
      </c>
      <c r="B286" s="25" t="s">
        <v>218</v>
      </c>
      <c r="C286" s="2"/>
      <c r="D286" s="2">
        <f>SUM(D287:D295)</f>
        <v>45000</v>
      </c>
      <c r="E286" s="2"/>
      <c r="F286" s="2"/>
      <c r="G286" s="2"/>
      <c r="H286" s="2"/>
    </row>
    <row r="287" spans="1:8" s="28" customFormat="1" ht="24.95" hidden="1" customHeight="1" x14ac:dyDescent="0.25">
      <c r="A287" s="26"/>
      <c r="B287" s="4" t="s">
        <v>219</v>
      </c>
      <c r="C287" s="1"/>
      <c r="D287" s="30">
        <v>5000</v>
      </c>
      <c r="E287" s="1"/>
      <c r="F287" s="30"/>
      <c r="G287" s="1"/>
      <c r="H287" s="1"/>
    </row>
    <row r="288" spans="1:8" s="28" customFormat="1" ht="24.95" hidden="1" customHeight="1" x14ac:dyDescent="0.25">
      <c r="A288" s="26"/>
      <c r="B288" s="4" t="s">
        <v>299</v>
      </c>
      <c r="C288" s="1"/>
      <c r="D288" s="30">
        <v>2000</v>
      </c>
      <c r="E288" s="1"/>
      <c r="F288" s="30"/>
      <c r="G288" s="1"/>
      <c r="H288" s="1"/>
    </row>
    <row r="289" spans="1:8" s="28" customFormat="1" ht="24.95" hidden="1" customHeight="1" x14ac:dyDescent="0.25">
      <c r="A289" s="26"/>
      <c r="B289" s="4" t="s">
        <v>323</v>
      </c>
      <c r="C289" s="1"/>
      <c r="D289" s="30">
        <v>2000</v>
      </c>
      <c r="E289" s="1"/>
      <c r="F289" s="30"/>
      <c r="G289" s="1"/>
      <c r="H289" s="1"/>
    </row>
    <row r="290" spans="1:8" s="28" customFormat="1" ht="24.95" hidden="1" customHeight="1" x14ac:dyDescent="0.25">
      <c r="A290" s="26"/>
      <c r="B290" s="4" t="s">
        <v>220</v>
      </c>
      <c r="C290" s="1"/>
      <c r="D290" s="30">
        <v>10000</v>
      </c>
      <c r="E290" s="1"/>
      <c r="F290" s="30"/>
      <c r="G290" s="1"/>
      <c r="H290" s="1"/>
    </row>
    <row r="291" spans="1:8" s="28" customFormat="1" ht="24.95" hidden="1" customHeight="1" x14ac:dyDescent="0.25">
      <c r="A291" s="26"/>
      <c r="B291" s="4" t="s">
        <v>221</v>
      </c>
      <c r="C291" s="1"/>
      <c r="D291" s="30">
        <f>7000+3000</f>
        <v>10000</v>
      </c>
      <c r="E291" s="1"/>
      <c r="F291" s="30"/>
      <c r="G291" s="1"/>
      <c r="H291" s="1"/>
    </row>
    <row r="292" spans="1:8" s="28" customFormat="1" ht="24.95" hidden="1" customHeight="1" x14ac:dyDescent="0.25">
      <c r="A292" s="26"/>
      <c r="B292" s="4" t="s">
        <v>222</v>
      </c>
      <c r="C292" s="1"/>
      <c r="D292" s="30">
        <v>13000</v>
      </c>
      <c r="E292" s="1"/>
      <c r="F292" s="30"/>
      <c r="G292" s="1"/>
      <c r="H292" s="1"/>
    </row>
    <row r="293" spans="1:8" s="27" customFormat="1" ht="39" hidden="1" customHeight="1" x14ac:dyDescent="0.25">
      <c r="A293" s="45"/>
      <c r="B293" s="29" t="s">
        <v>223</v>
      </c>
      <c r="C293" s="4"/>
      <c r="D293" s="30">
        <v>3000</v>
      </c>
      <c r="E293" s="4"/>
      <c r="F293" s="30"/>
      <c r="G293" s="4"/>
      <c r="H293" s="4"/>
    </row>
    <row r="294" spans="1:8" s="28" customFormat="1" ht="24.95" hidden="1" customHeight="1" x14ac:dyDescent="0.25">
      <c r="A294" s="26"/>
      <c r="B294" s="4" t="s">
        <v>224</v>
      </c>
      <c r="C294" s="1"/>
      <c r="D294" s="30">
        <v>0</v>
      </c>
      <c r="E294" s="1"/>
      <c r="F294" s="30"/>
      <c r="G294" s="1"/>
      <c r="H294" s="1"/>
    </row>
    <row r="295" spans="1:8" s="28" customFormat="1" ht="24.95" hidden="1" customHeight="1" x14ac:dyDescent="0.25">
      <c r="A295" s="26"/>
      <c r="B295" s="4" t="s">
        <v>225</v>
      </c>
      <c r="C295" s="1"/>
      <c r="D295" s="30">
        <v>0</v>
      </c>
      <c r="E295" s="1"/>
      <c r="F295" s="30"/>
      <c r="G295" s="1"/>
      <c r="H295" s="1"/>
    </row>
    <row r="296" spans="1:8" s="42" customFormat="1" ht="24.95" hidden="1" customHeight="1" x14ac:dyDescent="0.2">
      <c r="A296" s="37">
        <v>9</v>
      </c>
      <c r="B296" s="25" t="s">
        <v>226</v>
      </c>
      <c r="C296" s="2"/>
      <c r="D296" s="2">
        <f>SUM(D297:D306)</f>
        <v>154000</v>
      </c>
      <c r="E296" s="2"/>
      <c r="F296" s="2"/>
      <c r="G296" s="2"/>
      <c r="H296" s="2"/>
    </row>
    <row r="297" spans="1:8" s="28" customFormat="1" ht="24.95" hidden="1" customHeight="1" x14ac:dyDescent="0.25">
      <c r="A297" s="26"/>
      <c r="B297" s="4" t="s">
        <v>227</v>
      </c>
      <c r="C297" s="1"/>
      <c r="D297" s="1">
        <v>20000</v>
      </c>
      <c r="E297" s="1"/>
      <c r="F297" s="1"/>
      <c r="G297" s="1"/>
      <c r="H297" s="1"/>
    </row>
    <row r="298" spans="1:8" s="28" customFormat="1" ht="24.95" hidden="1" customHeight="1" x14ac:dyDescent="0.25">
      <c r="A298" s="26"/>
      <c r="B298" s="4" t="s">
        <v>228</v>
      </c>
      <c r="C298" s="1"/>
      <c r="D298" s="1">
        <v>45000</v>
      </c>
      <c r="E298" s="1"/>
      <c r="F298" s="1"/>
      <c r="G298" s="1"/>
      <c r="H298" s="1"/>
    </row>
    <row r="299" spans="1:8" s="28" customFormat="1" ht="24.95" hidden="1" customHeight="1" x14ac:dyDescent="0.25">
      <c r="A299" s="26"/>
      <c r="B299" s="4" t="s">
        <v>229</v>
      </c>
      <c r="C299" s="1"/>
      <c r="D299" s="1">
        <v>5000</v>
      </c>
      <c r="E299" s="1"/>
      <c r="F299" s="1"/>
      <c r="G299" s="1"/>
      <c r="H299" s="1"/>
    </row>
    <row r="300" spans="1:8" s="27" customFormat="1" ht="26.45" hidden="1" customHeight="1" x14ac:dyDescent="0.25">
      <c r="A300" s="45"/>
      <c r="B300" s="4" t="s">
        <v>230</v>
      </c>
      <c r="C300" s="4"/>
      <c r="D300" s="4">
        <v>0</v>
      </c>
      <c r="E300" s="4"/>
      <c r="F300" s="4"/>
      <c r="G300" s="4"/>
      <c r="H300" s="4"/>
    </row>
    <row r="301" spans="1:8" s="28" customFormat="1" ht="24.95" hidden="1" customHeight="1" x14ac:dyDescent="0.25">
      <c r="A301" s="26"/>
      <c r="B301" s="4" t="s">
        <v>292</v>
      </c>
      <c r="C301" s="1"/>
      <c r="D301" s="1">
        <v>22000</v>
      </c>
      <c r="E301" s="1"/>
      <c r="F301" s="1"/>
      <c r="G301" s="1"/>
      <c r="H301" s="1"/>
    </row>
    <row r="302" spans="1:8" s="28" customFormat="1" ht="24.95" hidden="1" customHeight="1" x14ac:dyDescent="0.25">
      <c r="A302" s="26"/>
      <c r="B302" s="4" t="s">
        <v>231</v>
      </c>
      <c r="C302" s="1"/>
      <c r="D302" s="1">
        <v>2000</v>
      </c>
      <c r="E302" s="1"/>
      <c r="F302" s="1"/>
      <c r="G302" s="1"/>
      <c r="H302" s="1"/>
    </row>
    <row r="303" spans="1:8" s="28" customFormat="1" ht="24.95" hidden="1" customHeight="1" x14ac:dyDescent="0.25">
      <c r="A303" s="26"/>
      <c r="B303" s="4" t="s">
        <v>232</v>
      </c>
      <c r="C303" s="1"/>
      <c r="D303" s="1">
        <v>60000</v>
      </c>
      <c r="E303" s="1"/>
      <c r="F303" s="1"/>
      <c r="G303" s="1"/>
      <c r="H303" s="1"/>
    </row>
    <row r="304" spans="1:8" s="28" customFormat="1" ht="24.95" hidden="1" customHeight="1" x14ac:dyDescent="0.25">
      <c r="A304" s="26"/>
      <c r="B304" s="4" t="s">
        <v>233</v>
      </c>
      <c r="C304" s="1"/>
      <c r="D304" s="1">
        <v>0</v>
      </c>
      <c r="E304" s="1"/>
      <c r="F304" s="1"/>
      <c r="G304" s="1"/>
      <c r="H304" s="1"/>
    </row>
    <row r="305" spans="1:8" s="28" customFormat="1" ht="24.95" hidden="1" customHeight="1" x14ac:dyDescent="0.25">
      <c r="A305" s="26"/>
      <c r="B305" s="4" t="s">
        <v>234</v>
      </c>
      <c r="C305" s="1"/>
      <c r="D305" s="1">
        <v>0</v>
      </c>
      <c r="E305" s="1"/>
      <c r="F305" s="1"/>
      <c r="G305" s="1"/>
      <c r="H305" s="1"/>
    </row>
    <row r="306" spans="1:8" s="28" customFormat="1" ht="24.95" hidden="1" customHeight="1" x14ac:dyDescent="0.25">
      <c r="A306" s="26"/>
      <c r="B306" s="4" t="s">
        <v>235</v>
      </c>
      <c r="C306" s="1"/>
      <c r="D306" s="1">
        <v>0</v>
      </c>
      <c r="E306" s="1"/>
      <c r="F306" s="1"/>
      <c r="G306" s="1"/>
      <c r="H306" s="1"/>
    </row>
    <row r="307" spans="1:8" s="42" customFormat="1" ht="24.95" hidden="1" customHeight="1" x14ac:dyDescent="0.2">
      <c r="A307" s="37">
        <v>10</v>
      </c>
      <c r="B307" s="25" t="s">
        <v>236</v>
      </c>
      <c r="C307" s="2"/>
      <c r="D307" s="2">
        <f>SUM(D308:D309)</f>
        <v>225000</v>
      </c>
      <c r="E307" s="2"/>
      <c r="F307" s="2"/>
      <c r="G307" s="2"/>
      <c r="H307" s="2"/>
    </row>
    <row r="308" spans="1:8" s="28" customFormat="1" ht="24.95" hidden="1" customHeight="1" x14ac:dyDescent="0.25">
      <c r="A308" s="26"/>
      <c r="B308" s="4" t="s">
        <v>308</v>
      </c>
      <c r="C308" s="1"/>
      <c r="D308" s="1">
        <v>124000</v>
      </c>
      <c r="E308" s="1"/>
      <c r="F308" s="1"/>
      <c r="G308" s="1"/>
      <c r="H308" s="1"/>
    </row>
    <row r="309" spans="1:8" s="28" customFormat="1" ht="24.95" hidden="1" customHeight="1" x14ac:dyDescent="0.25">
      <c r="A309" s="26"/>
      <c r="B309" s="4" t="s">
        <v>343</v>
      </c>
      <c r="C309" s="1"/>
      <c r="D309" s="1">
        <v>101000</v>
      </c>
      <c r="E309" s="1"/>
      <c r="F309" s="1"/>
      <c r="G309" s="1"/>
      <c r="H309" s="1"/>
    </row>
    <row r="310" spans="1:8" s="42" customFormat="1" ht="24.95" hidden="1" customHeight="1" x14ac:dyDescent="0.2">
      <c r="A310" s="37">
        <v>11</v>
      </c>
      <c r="B310" s="25" t="s">
        <v>324</v>
      </c>
      <c r="C310" s="2"/>
      <c r="D310" s="2">
        <f>SUM(D311:D329)-D324-D325-D326</f>
        <v>214000</v>
      </c>
      <c r="E310" s="2"/>
      <c r="F310" s="2"/>
      <c r="G310" s="2"/>
      <c r="H310" s="2"/>
    </row>
    <row r="311" spans="1:8" s="28" customFormat="1" ht="30" hidden="1" customHeight="1" x14ac:dyDescent="0.25">
      <c r="A311" s="26"/>
      <c r="B311" s="32" t="s">
        <v>358</v>
      </c>
      <c r="C311" s="1"/>
      <c r="D311" s="30">
        <v>7000</v>
      </c>
      <c r="E311" s="1"/>
      <c r="F311" s="30"/>
      <c r="G311" s="1"/>
      <c r="H311" s="1"/>
    </row>
    <row r="312" spans="1:8" s="28" customFormat="1" ht="37.5" hidden="1" customHeight="1" x14ac:dyDescent="0.25">
      <c r="A312" s="26"/>
      <c r="B312" s="32" t="s">
        <v>325</v>
      </c>
      <c r="C312" s="1"/>
      <c r="D312" s="30">
        <v>3000</v>
      </c>
      <c r="E312" s="1"/>
      <c r="F312" s="30"/>
      <c r="G312" s="1"/>
      <c r="H312" s="1"/>
    </row>
    <row r="313" spans="1:8" s="28" customFormat="1" ht="24.95" hidden="1" customHeight="1" x14ac:dyDescent="0.25">
      <c r="A313" s="26"/>
      <c r="B313" s="1" t="s">
        <v>178</v>
      </c>
      <c r="C313" s="1"/>
      <c r="D313" s="30">
        <v>1600</v>
      </c>
      <c r="E313" s="1"/>
      <c r="F313" s="30"/>
      <c r="G313" s="1"/>
      <c r="H313" s="1"/>
    </row>
    <row r="314" spans="1:8" s="28" customFormat="1" ht="24.95" hidden="1" customHeight="1" x14ac:dyDescent="0.25">
      <c r="A314" s="26"/>
      <c r="B314" s="32" t="s">
        <v>326</v>
      </c>
      <c r="C314" s="1"/>
      <c r="D314" s="30">
        <v>10000</v>
      </c>
      <c r="E314" s="1"/>
      <c r="F314" s="30"/>
      <c r="G314" s="1"/>
      <c r="H314" s="1"/>
    </row>
    <row r="315" spans="1:8" s="28" customFormat="1" ht="24.95" hidden="1" customHeight="1" x14ac:dyDescent="0.25">
      <c r="A315" s="26"/>
      <c r="B315" s="32" t="s">
        <v>355</v>
      </c>
      <c r="C315" s="1"/>
      <c r="D315" s="30">
        <v>10000</v>
      </c>
      <c r="E315" s="1"/>
      <c r="F315" s="30"/>
      <c r="G315" s="1"/>
      <c r="H315" s="1"/>
    </row>
    <row r="316" spans="1:8" s="28" customFormat="1" ht="24.95" hidden="1" customHeight="1" x14ac:dyDescent="0.25">
      <c r="A316" s="26"/>
      <c r="B316" s="32" t="s">
        <v>327</v>
      </c>
      <c r="C316" s="1"/>
      <c r="D316" s="30">
        <v>5000</v>
      </c>
      <c r="E316" s="1"/>
      <c r="F316" s="30"/>
      <c r="G316" s="1"/>
      <c r="H316" s="1"/>
    </row>
    <row r="317" spans="1:8" s="28" customFormat="1" ht="24.95" hidden="1" customHeight="1" x14ac:dyDescent="0.25">
      <c r="A317" s="26"/>
      <c r="B317" s="32" t="s">
        <v>328</v>
      </c>
      <c r="C317" s="1"/>
      <c r="D317" s="30">
        <v>5000</v>
      </c>
      <c r="E317" s="1"/>
      <c r="F317" s="30"/>
      <c r="G317" s="1"/>
      <c r="H317" s="1"/>
    </row>
    <row r="318" spans="1:8" s="28" customFormat="1" ht="36.75" hidden="1" customHeight="1" x14ac:dyDescent="0.25">
      <c r="A318" s="26"/>
      <c r="B318" s="32" t="s">
        <v>329</v>
      </c>
      <c r="C318" s="1"/>
      <c r="D318" s="30">
        <v>2000</v>
      </c>
      <c r="E318" s="1"/>
      <c r="F318" s="30"/>
      <c r="G318" s="1"/>
      <c r="H318" s="1"/>
    </row>
    <row r="319" spans="1:8" s="28" customFormat="1" ht="35.450000000000003" hidden="1" customHeight="1" x14ac:dyDescent="0.25">
      <c r="A319" s="26"/>
      <c r="B319" s="32" t="s">
        <v>330</v>
      </c>
      <c r="C319" s="1"/>
      <c r="D319" s="30">
        <v>11900</v>
      </c>
      <c r="E319" s="1"/>
      <c r="F319" s="30"/>
      <c r="G319" s="1"/>
      <c r="H319" s="1"/>
    </row>
    <row r="320" spans="1:8" s="28" customFormat="1" ht="24.95" hidden="1" customHeight="1" x14ac:dyDescent="0.25">
      <c r="A320" s="26"/>
      <c r="B320" s="32" t="s">
        <v>331</v>
      </c>
      <c r="C320" s="1"/>
      <c r="D320" s="30">
        <v>30000</v>
      </c>
      <c r="E320" s="1"/>
      <c r="F320" s="30"/>
      <c r="G320" s="1"/>
      <c r="H320" s="1"/>
    </row>
    <row r="321" spans="1:8" s="28" customFormat="1" ht="24.95" hidden="1" customHeight="1" x14ac:dyDescent="0.25">
      <c r="A321" s="26"/>
      <c r="B321" s="32" t="s">
        <v>332</v>
      </c>
      <c r="C321" s="1"/>
      <c r="D321" s="30">
        <v>10000</v>
      </c>
      <c r="E321" s="1"/>
      <c r="F321" s="30"/>
      <c r="G321" s="1"/>
      <c r="H321" s="1"/>
    </row>
    <row r="322" spans="1:8" s="28" customFormat="1" ht="24.95" hidden="1" customHeight="1" x14ac:dyDescent="0.25">
      <c r="A322" s="26"/>
      <c r="B322" s="32" t="s">
        <v>333</v>
      </c>
      <c r="C322" s="1"/>
      <c r="D322" s="30">
        <v>2500</v>
      </c>
      <c r="E322" s="1"/>
      <c r="F322" s="30"/>
      <c r="G322" s="1"/>
      <c r="H322" s="1"/>
    </row>
    <row r="323" spans="1:8" s="28" customFormat="1" ht="24.95" hidden="1" customHeight="1" x14ac:dyDescent="0.25">
      <c r="A323" s="26"/>
      <c r="B323" s="32" t="s">
        <v>334</v>
      </c>
      <c r="C323" s="1"/>
      <c r="D323" s="30">
        <f>D324+D325+D326</f>
        <v>70000</v>
      </c>
      <c r="E323" s="1"/>
      <c r="F323" s="30"/>
      <c r="G323" s="1"/>
      <c r="H323" s="1"/>
    </row>
    <row r="324" spans="1:8" s="28" customFormat="1" ht="24.95" hidden="1" customHeight="1" x14ac:dyDescent="0.25">
      <c r="A324" s="26"/>
      <c r="B324" s="33" t="s">
        <v>173</v>
      </c>
      <c r="C324" s="1"/>
      <c r="D324" s="31">
        <f>22000+20000</f>
        <v>42000</v>
      </c>
      <c r="E324" s="1"/>
      <c r="F324" s="31"/>
      <c r="G324" s="1"/>
      <c r="H324" s="1"/>
    </row>
    <row r="325" spans="1:8" s="28" customFormat="1" ht="24.95" hidden="1" customHeight="1" x14ac:dyDescent="0.25">
      <c r="A325" s="26"/>
      <c r="B325" s="33" t="s">
        <v>174</v>
      </c>
      <c r="C325" s="1"/>
      <c r="D325" s="31">
        <f>8000+5000</f>
        <v>13000</v>
      </c>
      <c r="E325" s="1"/>
      <c r="F325" s="31"/>
      <c r="G325" s="1"/>
      <c r="H325" s="1"/>
    </row>
    <row r="326" spans="1:8" s="28" customFormat="1" ht="24.95" hidden="1" customHeight="1" x14ac:dyDescent="0.25">
      <c r="A326" s="26"/>
      <c r="B326" s="33" t="s">
        <v>320</v>
      </c>
      <c r="C326" s="1"/>
      <c r="D326" s="31">
        <f>10000+5000</f>
        <v>15000</v>
      </c>
      <c r="E326" s="1"/>
      <c r="F326" s="31"/>
      <c r="G326" s="1"/>
      <c r="H326" s="1"/>
    </row>
    <row r="327" spans="1:8" s="28" customFormat="1" ht="24.95" hidden="1" customHeight="1" x14ac:dyDescent="0.25">
      <c r="A327" s="26"/>
      <c r="B327" s="32" t="s">
        <v>335</v>
      </c>
      <c r="C327" s="1"/>
      <c r="D327" s="30">
        <v>23000</v>
      </c>
      <c r="E327" s="1"/>
      <c r="F327" s="30"/>
      <c r="G327" s="1"/>
      <c r="H327" s="1"/>
    </row>
    <row r="328" spans="1:8" s="28" customFormat="1" ht="24.95" hidden="1" customHeight="1" x14ac:dyDescent="0.25">
      <c r="A328" s="26"/>
      <c r="B328" s="32" t="s">
        <v>336</v>
      </c>
      <c r="C328" s="1"/>
      <c r="D328" s="30">
        <v>3000</v>
      </c>
      <c r="E328" s="1"/>
      <c r="F328" s="30"/>
      <c r="G328" s="1"/>
      <c r="H328" s="1"/>
    </row>
    <row r="329" spans="1:8" s="28" customFormat="1" ht="24.95" hidden="1" customHeight="1" x14ac:dyDescent="0.25">
      <c r="A329" s="26"/>
      <c r="B329" s="32" t="s">
        <v>337</v>
      </c>
      <c r="C329" s="1"/>
      <c r="D329" s="30">
        <v>20000</v>
      </c>
      <c r="E329" s="1"/>
      <c r="F329" s="30"/>
      <c r="G329" s="1"/>
      <c r="H329" s="1"/>
    </row>
    <row r="330" spans="1:8" s="42" customFormat="1" ht="27" customHeight="1" x14ac:dyDescent="0.2">
      <c r="A330" s="37" t="s">
        <v>160</v>
      </c>
      <c r="B330" s="25" t="s">
        <v>238</v>
      </c>
      <c r="C330" s="2">
        <v>213600</v>
      </c>
      <c r="D330" s="2">
        <v>213600</v>
      </c>
      <c r="E330" s="2">
        <f>F330+G330+H330</f>
        <v>260000</v>
      </c>
      <c r="F330" s="2">
        <v>260000</v>
      </c>
      <c r="G330" s="2"/>
      <c r="H330" s="2"/>
    </row>
    <row r="331" spans="1:8" s="42" customFormat="1" ht="27" customHeight="1" x14ac:dyDescent="0.2">
      <c r="A331" s="37" t="s">
        <v>237</v>
      </c>
      <c r="B331" s="25" t="s">
        <v>240</v>
      </c>
      <c r="C331" s="2">
        <v>331220</v>
      </c>
      <c r="D331" s="2">
        <v>235000</v>
      </c>
      <c r="E331" s="2">
        <f>215730+24000</f>
        <v>239730</v>
      </c>
      <c r="F331" s="2">
        <f>E331-G331-H331</f>
        <v>137673</v>
      </c>
      <c r="G331" s="2">
        <v>78436</v>
      </c>
      <c r="H331" s="2">
        <v>23621</v>
      </c>
    </row>
    <row r="332" spans="1:8" s="42" customFormat="1" ht="27" customHeight="1" x14ac:dyDescent="0.2">
      <c r="A332" s="37" t="s">
        <v>239</v>
      </c>
      <c r="B332" s="25" t="s">
        <v>242</v>
      </c>
      <c r="C332" s="2">
        <v>1340</v>
      </c>
      <c r="D332" s="2">
        <v>1340</v>
      </c>
      <c r="E332" s="2">
        <f t="shared" ref="E332:E343" si="4">F332+G332+H332</f>
        <v>1340</v>
      </c>
      <c r="F332" s="2">
        <v>1340</v>
      </c>
      <c r="G332" s="2"/>
      <c r="H332" s="2"/>
    </row>
    <row r="333" spans="1:8" s="42" customFormat="1" ht="27" customHeight="1" x14ac:dyDescent="0.2">
      <c r="A333" s="37" t="s">
        <v>241</v>
      </c>
      <c r="B333" s="25" t="s">
        <v>300</v>
      </c>
      <c r="C333" s="2">
        <v>90000</v>
      </c>
      <c r="D333" s="2">
        <f>65000+25000</f>
        <v>90000</v>
      </c>
      <c r="E333" s="2">
        <f t="shared" si="4"/>
        <v>70000</v>
      </c>
      <c r="F333" s="2">
        <v>70000</v>
      </c>
      <c r="G333" s="2"/>
      <c r="H333" s="2"/>
    </row>
    <row r="334" spans="1:8" s="42" customFormat="1" ht="27" customHeight="1" x14ac:dyDescent="0.2">
      <c r="A334" s="37" t="s">
        <v>243</v>
      </c>
      <c r="B334" s="25" t="s">
        <v>301</v>
      </c>
      <c r="C334" s="2">
        <v>408860</v>
      </c>
      <c r="D334" s="2">
        <f>675583-347408-31000-11625-2500-5000-25000-5850-41000-6000-500-5000-14700</f>
        <v>180000</v>
      </c>
      <c r="E334" s="2">
        <f t="shared" si="4"/>
        <v>0</v>
      </c>
      <c r="F334" s="2"/>
      <c r="G334" s="2"/>
      <c r="H334" s="2"/>
    </row>
    <row r="335" spans="1:8" s="42" customFormat="1" ht="27" customHeight="1" x14ac:dyDescent="0.2">
      <c r="A335" s="37" t="s">
        <v>244</v>
      </c>
      <c r="B335" s="25" t="s">
        <v>248</v>
      </c>
      <c r="C335" s="2">
        <v>10000</v>
      </c>
      <c r="D335" s="2">
        <v>10000</v>
      </c>
      <c r="E335" s="2">
        <f t="shared" si="4"/>
        <v>10000</v>
      </c>
      <c r="F335" s="2">
        <v>10000</v>
      </c>
      <c r="G335" s="2"/>
      <c r="H335" s="2"/>
    </row>
    <row r="336" spans="1:8" s="42" customFormat="1" ht="27" customHeight="1" x14ac:dyDescent="0.2">
      <c r="A336" s="37" t="s">
        <v>245</v>
      </c>
      <c r="B336" s="25" t="s">
        <v>250</v>
      </c>
      <c r="C336" s="2">
        <v>11000</v>
      </c>
      <c r="D336" s="2">
        <v>11000</v>
      </c>
      <c r="E336" s="2">
        <f t="shared" si="4"/>
        <v>10000</v>
      </c>
      <c r="F336" s="2">
        <v>10000</v>
      </c>
      <c r="G336" s="2"/>
      <c r="H336" s="2"/>
    </row>
    <row r="337" spans="1:8" s="42" customFormat="1" ht="27" customHeight="1" x14ac:dyDescent="0.2">
      <c r="A337" s="37" t="s">
        <v>246</v>
      </c>
      <c r="B337" s="25" t="s">
        <v>302</v>
      </c>
      <c r="C337" s="2">
        <v>6850</v>
      </c>
      <c r="D337" s="2">
        <v>6850</v>
      </c>
      <c r="E337" s="2">
        <f t="shared" si="4"/>
        <v>7000</v>
      </c>
      <c r="F337" s="2">
        <v>7000</v>
      </c>
      <c r="G337" s="2"/>
      <c r="H337" s="2"/>
    </row>
    <row r="338" spans="1:8" s="42" customFormat="1" ht="27" customHeight="1" x14ac:dyDescent="0.2">
      <c r="A338" s="37" t="s">
        <v>247</v>
      </c>
      <c r="B338" s="25" t="s">
        <v>253</v>
      </c>
      <c r="C338" s="2">
        <v>25000</v>
      </c>
      <c r="D338" s="2">
        <v>25000</v>
      </c>
      <c r="E338" s="2">
        <f t="shared" si="4"/>
        <v>25000</v>
      </c>
      <c r="F338" s="2">
        <v>25000</v>
      </c>
      <c r="G338" s="2"/>
      <c r="H338" s="2"/>
    </row>
    <row r="339" spans="1:8" s="42" customFormat="1" ht="27" customHeight="1" x14ac:dyDescent="0.2">
      <c r="A339" s="37" t="s">
        <v>249</v>
      </c>
      <c r="B339" s="25" t="s">
        <v>254</v>
      </c>
      <c r="C339" s="2">
        <v>10000</v>
      </c>
      <c r="D339" s="2">
        <v>10000</v>
      </c>
      <c r="E339" s="2">
        <f t="shared" si="4"/>
        <v>10000</v>
      </c>
      <c r="F339" s="2">
        <v>10000</v>
      </c>
      <c r="G339" s="2"/>
      <c r="H339" s="2"/>
    </row>
    <row r="340" spans="1:8" s="42" customFormat="1" ht="36" customHeight="1" x14ac:dyDescent="0.2">
      <c r="A340" s="37" t="s">
        <v>251</v>
      </c>
      <c r="B340" s="25" t="s">
        <v>543</v>
      </c>
      <c r="C340" s="2"/>
      <c r="D340" s="2"/>
      <c r="E340" s="2">
        <v>100000</v>
      </c>
      <c r="F340" s="2">
        <v>100000</v>
      </c>
      <c r="G340" s="2"/>
      <c r="H340" s="2"/>
    </row>
    <row r="341" spans="1:8" s="42" customFormat="1" ht="27" customHeight="1" x14ac:dyDescent="0.2">
      <c r="A341" s="37" t="s">
        <v>252</v>
      </c>
      <c r="B341" s="25" t="s">
        <v>606</v>
      </c>
      <c r="C341" s="2"/>
      <c r="D341" s="2"/>
      <c r="E341" s="2">
        <f t="shared" si="4"/>
        <v>23000</v>
      </c>
      <c r="F341" s="2">
        <v>13800</v>
      </c>
      <c r="G341" s="2">
        <v>4600</v>
      </c>
      <c r="H341" s="2">
        <v>4600</v>
      </c>
    </row>
    <row r="342" spans="1:8" s="42" customFormat="1" ht="36" customHeight="1" x14ac:dyDescent="0.2">
      <c r="A342" s="37" t="s">
        <v>437</v>
      </c>
      <c r="B342" s="25" t="s">
        <v>607</v>
      </c>
      <c r="C342" s="2"/>
      <c r="D342" s="2"/>
      <c r="E342" s="2">
        <f t="shared" si="4"/>
        <v>146458</v>
      </c>
      <c r="F342" s="2">
        <f>170458-24000</f>
        <v>146458</v>
      </c>
      <c r="G342" s="2"/>
      <c r="H342" s="2"/>
    </row>
    <row r="343" spans="1:8" s="42" customFormat="1" ht="27" customHeight="1" x14ac:dyDescent="0.2">
      <c r="A343" s="37" t="s">
        <v>447</v>
      </c>
      <c r="B343" s="25" t="s">
        <v>255</v>
      </c>
      <c r="C343" s="2">
        <v>232519</v>
      </c>
      <c r="D343" s="2">
        <v>232519</v>
      </c>
      <c r="E343" s="2">
        <f t="shared" si="4"/>
        <v>387525</v>
      </c>
      <c r="F343" s="2">
        <v>387525</v>
      </c>
      <c r="G343" s="2"/>
      <c r="H343" s="2"/>
    </row>
    <row r="344" spans="1:8" s="34" customFormat="1" ht="11.25" customHeight="1" x14ac:dyDescent="0.25">
      <c r="A344" s="58"/>
      <c r="B344" s="62"/>
      <c r="C344" s="5"/>
      <c r="D344" s="5"/>
    </row>
    <row r="345" spans="1:8" ht="21.75" customHeight="1" x14ac:dyDescent="0.2">
      <c r="D345" s="248" t="s">
        <v>604</v>
      </c>
      <c r="E345" s="248"/>
      <c r="F345" s="248"/>
      <c r="G345" s="248"/>
      <c r="H345" s="248"/>
    </row>
  </sheetData>
  <mergeCells count="9">
    <mergeCell ref="D345:H345"/>
    <mergeCell ref="A2:H2"/>
    <mergeCell ref="A3:H3"/>
    <mergeCell ref="F5:H5"/>
    <mergeCell ref="A1:H1"/>
    <mergeCell ref="C6:D6"/>
    <mergeCell ref="E6:H6"/>
    <mergeCell ref="A6:A7"/>
    <mergeCell ref="B6:B7"/>
  </mergeCells>
  <phoneticPr fontId="0" type="noConversion"/>
  <printOptions horizontalCentered="1"/>
  <pageMargins left="0" right="0" top="0.85" bottom="0.7" header="0.5" footer="0.2"/>
  <pageSetup paperSize="9" scale="95" orientation="landscape" r:id="rId1"/>
  <headerFooter alignWithMargins="0">
    <oddFooter>&amp;C&amp;P/14 (PL03)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zoomScale="110" zoomScaleNormal="110" workbookViewId="0">
      <selection activeCell="F7" sqref="F7"/>
    </sheetView>
  </sheetViews>
  <sheetFormatPr defaultColWidth="8.25" defaultRowHeight="15.75" x14ac:dyDescent="0.25"/>
  <cols>
    <col min="1" max="1" width="4.75" style="201" customWidth="1"/>
    <col min="2" max="2" width="26.625" style="201" customWidth="1"/>
    <col min="3" max="4" width="6.75" style="201" bestFit="1" customWidth="1"/>
    <col min="5" max="5" width="9.875" style="201" bestFit="1" customWidth="1"/>
    <col min="6" max="6" width="8.875" style="201" bestFit="1" customWidth="1"/>
    <col min="7" max="7" width="7.75" style="201" bestFit="1" customWidth="1"/>
    <col min="8" max="8" width="9.375" style="201" customWidth="1"/>
    <col min="9" max="9" width="6.625" style="201" bestFit="1" customWidth="1"/>
    <col min="10" max="10" width="6.75" style="201" bestFit="1" customWidth="1"/>
    <col min="11" max="11" width="8.875" style="201" customWidth="1"/>
    <col min="12" max="12" width="8.875" style="201" bestFit="1" customWidth="1"/>
    <col min="13" max="13" width="7.75" style="201" bestFit="1" customWidth="1"/>
    <col min="14" max="14" width="8.875" style="201" bestFit="1" customWidth="1"/>
    <col min="15" max="16384" width="8.25" style="201"/>
  </cols>
  <sheetData>
    <row r="1" spans="1:14" x14ac:dyDescent="0.25">
      <c r="A1" s="250" t="s">
        <v>287</v>
      </c>
      <c r="B1" s="250"/>
      <c r="C1" s="250"/>
      <c r="D1" s="250"/>
      <c r="E1" s="250"/>
      <c r="F1" s="250"/>
      <c r="G1" s="250"/>
      <c r="H1" s="250"/>
      <c r="I1" s="250"/>
      <c r="J1" s="250"/>
      <c r="K1" s="250"/>
      <c r="L1" s="250"/>
      <c r="M1" s="250"/>
    </row>
    <row r="2" spans="1:14" x14ac:dyDescent="0.25">
      <c r="A2" s="250" t="s">
        <v>468</v>
      </c>
      <c r="B2" s="250"/>
      <c r="C2" s="250"/>
      <c r="D2" s="250"/>
      <c r="E2" s="250"/>
      <c r="F2" s="250"/>
      <c r="G2" s="250"/>
      <c r="H2" s="250"/>
      <c r="I2" s="250"/>
      <c r="J2" s="250"/>
      <c r="K2" s="250"/>
      <c r="L2" s="250"/>
      <c r="M2" s="250"/>
    </row>
    <row r="3" spans="1:14" ht="16.5" x14ac:dyDescent="0.25">
      <c r="A3" s="251" t="s">
        <v>796</v>
      </c>
      <c r="B3" s="251"/>
      <c r="C3" s="251"/>
      <c r="D3" s="251"/>
      <c r="E3" s="251"/>
      <c r="F3" s="251"/>
      <c r="G3" s="251"/>
      <c r="H3" s="251"/>
      <c r="I3" s="251"/>
      <c r="J3" s="251"/>
      <c r="K3" s="251"/>
      <c r="L3" s="251"/>
      <c r="M3" s="251"/>
      <c r="N3" s="251"/>
    </row>
    <row r="4" spans="1:14" x14ac:dyDescent="0.25">
      <c r="L4" s="252" t="s">
        <v>469</v>
      </c>
      <c r="M4" s="252"/>
      <c r="N4" s="252"/>
    </row>
    <row r="5" spans="1:14" s="202" customFormat="1" ht="85.5" customHeight="1" x14ac:dyDescent="0.25">
      <c r="A5" s="218" t="s">
        <v>731</v>
      </c>
      <c r="B5" s="218" t="s">
        <v>470</v>
      </c>
      <c r="C5" s="218" t="s">
        <v>471</v>
      </c>
      <c r="D5" s="218" t="s">
        <v>472</v>
      </c>
      <c r="E5" s="218" t="s">
        <v>473</v>
      </c>
      <c r="F5" s="218" t="s">
        <v>474</v>
      </c>
      <c r="G5" s="218" t="s">
        <v>475</v>
      </c>
      <c r="H5" s="219" t="s">
        <v>792</v>
      </c>
      <c r="I5" s="218" t="s">
        <v>476</v>
      </c>
      <c r="J5" s="218" t="s">
        <v>477</v>
      </c>
      <c r="K5" s="218" t="s">
        <v>478</v>
      </c>
      <c r="L5" s="218" t="s">
        <v>479</v>
      </c>
      <c r="M5" s="218" t="s">
        <v>480</v>
      </c>
      <c r="N5" s="218" t="s">
        <v>481</v>
      </c>
    </row>
    <row r="6" spans="1:14" ht="24" customHeight="1" x14ac:dyDescent="0.25">
      <c r="A6" s="186"/>
      <c r="B6" s="187" t="s">
        <v>47</v>
      </c>
      <c r="C6" s="188">
        <f t="shared" ref="C6:N6" si="0">C7+C62+C101+C110+C141+C164</f>
        <v>2089</v>
      </c>
      <c r="D6" s="188">
        <f t="shared" si="0"/>
        <v>1896</v>
      </c>
      <c r="E6" s="188">
        <f t="shared" si="0"/>
        <v>198436.03673112209</v>
      </c>
      <c r="F6" s="188">
        <f t="shared" si="0"/>
        <v>202858.1259911221</v>
      </c>
      <c r="G6" s="188">
        <f t="shared" si="0"/>
        <v>64789.921928978882</v>
      </c>
      <c r="H6" s="188">
        <f t="shared" si="0"/>
        <v>810</v>
      </c>
      <c r="I6" s="188">
        <f t="shared" si="0"/>
        <v>625</v>
      </c>
      <c r="J6" s="188">
        <f t="shared" si="0"/>
        <v>1992</v>
      </c>
      <c r="K6" s="188">
        <f t="shared" si="0"/>
        <v>83190</v>
      </c>
      <c r="L6" s="188">
        <f t="shared" si="0"/>
        <v>354265.04792010091</v>
      </c>
      <c r="M6" s="188">
        <f t="shared" si="0"/>
        <v>27136</v>
      </c>
      <c r="N6" s="188">
        <f t="shared" si="0"/>
        <v>351882</v>
      </c>
    </row>
    <row r="7" spans="1:14" ht="24" customHeight="1" x14ac:dyDescent="0.25">
      <c r="A7" s="189" t="s">
        <v>482</v>
      </c>
      <c r="B7" s="190" t="s">
        <v>612</v>
      </c>
      <c r="C7" s="188">
        <f t="shared" ref="C7:N7" si="1">C8+C36</f>
        <v>1549</v>
      </c>
      <c r="D7" s="188">
        <f t="shared" si="1"/>
        <v>1417</v>
      </c>
      <c r="E7" s="188">
        <f t="shared" si="1"/>
        <v>154528.16992195923</v>
      </c>
      <c r="F7" s="188">
        <f t="shared" si="1"/>
        <v>157818.31118195923</v>
      </c>
      <c r="G7" s="188">
        <f t="shared" si="1"/>
        <v>52606.103727319743</v>
      </c>
      <c r="H7" s="188">
        <f t="shared" si="1"/>
        <v>360</v>
      </c>
      <c r="I7" s="188">
        <f t="shared" si="1"/>
        <v>500</v>
      </c>
      <c r="J7" s="188">
        <f t="shared" si="1"/>
        <v>1992</v>
      </c>
      <c r="K7" s="188">
        <f t="shared" si="1"/>
        <v>46151</v>
      </c>
      <c r="L7" s="188">
        <f t="shared" si="1"/>
        <v>259427.41490927897</v>
      </c>
      <c r="M7" s="188">
        <f t="shared" si="1"/>
        <v>12586</v>
      </c>
      <c r="N7" s="188">
        <f t="shared" si="1"/>
        <v>249097</v>
      </c>
    </row>
    <row r="8" spans="1:14" ht="24" customHeight="1" x14ac:dyDescent="0.25">
      <c r="A8" s="189" t="s">
        <v>483</v>
      </c>
      <c r="B8" s="191" t="s">
        <v>613</v>
      </c>
      <c r="C8" s="188">
        <f>SUM(C9:C35)-C29-C15</f>
        <v>915</v>
      </c>
      <c r="D8" s="188">
        <f t="shared" ref="D8:K8" si="2">SUM(D9:D35)-D29-D15</f>
        <v>847</v>
      </c>
      <c r="E8" s="188">
        <f t="shared" si="2"/>
        <v>86513.444348747813</v>
      </c>
      <c r="F8" s="188">
        <f t="shared" si="2"/>
        <v>88350.708348747794</v>
      </c>
      <c r="G8" s="188">
        <f t="shared" si="2"/>
        <v>29450.236116249267</v>
      </c>
      <c r="H8" s="188">
        <f t="shared" si="2"/>
        <v>360</v>
      </c>
      <c r="I8" s="188">
        <f t="shared" si="2"/>
        <v>500</v>
      </c>
      <c r="J8" s="188">
        <f t="shared" si="2"/>
        <v>468</v>
      </c>
      <c r="K8" s="188">
        <f t="shared" si="2"/>
        <v>33770</v>
      </c>
      <c r="L8" s="188">
        <f t="shared" ref="L8:N8" si="3">SUM(L9:L35)-L29-L15</f>
        <v>152898.94446499707</v>
      </c>
      <c r="M8" s="188">
        <f t="shared" si="3"/>
        <v>11796</v>
      </c>
      <c r="N8" s="188">
        <f t="shared" si="3"/>
        <v>159140</v>
      </c>
    </row>
    <row r="9" spans="1:14" ht="24" customHeight="1" x14ac:dyDescent="0.25">
      <c r="A9" s="192">
        <v>1</v>
      </c>
      <c r="B9" s="193" t="s">
        <v>614</v>
      </c>
      <c r="C9" s="194">
        <v>62</v>
      </c>
      <c r="D9" s="194">
        <v>57</v>
      </c>
      <c r="E9" s="194">
        <v>6977.1000639999984</v>
      </c>
      <c r="F9" s="194">
        <f>E9+1.162+C9*1.98</f>
        <v>7101.0220639999989</v>
      </c>
      <c r="G9" s="194">
        <f>25/75*F9</f>
        <v>2367.0073546666663</v>
      </c>
      <c r="H9" s="194"/>
      <c r="I9" s="194">
        <v>25</v>
      </c>
      <c r="J9" s="194">
        <v>32</v>
      </c>
      <c r="K9" s="194"/>
      <c r="L9" s="194">
        <f t="shared" ref="L9:L35" si="4">SUM(F9:K9)</f>
        <v>9525.0294186666652</v>
      </c>
      <c r="M9" s="194"/>
      <c r="N9" s="194">
        <v>10377</v>
      </c>
    </row>
    <row r="10" spans="1:14" ht="24" customHeight="1" x14ac:dyDescent="0.25">
      <c r="A10" s="192">
        <v>2</v>
      </c>
      <c r="B10" s="193" t="s">
        <v>615</v>
      </c>
      <c r="C10" s="194">
        <v>32</v>
      </c>
      <c r="D10" s="194">
        <v>30</v>
      </c>
      <c r="E10" s="194">
        <v>2768.5543424000002</v>
      </c>
      <c r="F10" s="194">
        <f t="shared" ref="F10:F73" si="5">E10+1.162+C10*1.98</f>
        <v>2833.0763424000002</v>
      </c>
      <c r="G10" s="194">
        <f t="shared" ref="G10:G61" si="6">25/75*F10</f>
        <v>944.35878079999998</v>
      </c>
      <c r="H10" s="194"/>
      <c r="I10" s="194">
        <v>25</v>
      </c>
      <c r="J10" s="194">
        <v>44</v>
      </c>
      <c r="K10" s="194"/>
      <c r="L10" s="194">
        <f t="shared" si="4"/>
        <v>3846.4351231999999</v>
      </c>
      <c r="M10" s="194"/>
      <c r="N10" s="194">
        <v>3948</v>
      </c>
    </row>
    <row r="11" spans="1:14" ht="24" customHeight="1" x14ac:dyDescent="0.25">
      <c r="A11" s="192">
        <v>3</v>
      </c>
      <c r="B11" s="193" t="s">
        <v>616</v>
      </c>
      <c r="C11" s="194">
        <v>36</v>
      </c>
      <c r="D11" s="194">
        <v>35</v>
      </c>
      <c r="E11" s="194">
        <v>3407</v>
      </c>
      <c r="F11" s="194">
        <f t="shared" si="5"/>
        <v>3479.442</v>
      </c>
      <c r="G11" s="194">
        <f t="shared" si="6"/>
        <v>1159.8139999999999</v>
      </c>
      <c r="H11" s="194"/>
      <c r="I11" s="194">
        <v>25</v>
      </c>
      <c r="J11" s="194">
        <v>16</v>
      </c>
      <c r="K11" s="194"/>
      <c r="L11" s="194">
        <f t="shared" si="4"/>
        <v>4680.2559999999994</v>
      </c>
      <c r="M11" s="194">
        <v>1400</v>
      </c>
      <c r="N11" s="194">
        <v>5161</v>
      </c>
    </row>
    <row r="12" spans="1:14" ht="24" customHeight="1" x14ac:dyDescent="0.25">
      <c r="A12" s="192">
        <v>4</v>
      </c>
      <c r="B12" s="193" t="s">
        <v>617</v>
      </c>
      <c r="C12" s="194">
        <v>38</v>
      </c>
      <c r="D12" s="194">
        <v>30</v>
      </c>
      <c r="E12" s="194">
        <v>2897</v>
      </c>
      <c r="F12" s="194">
        <f t="shared" si="5"/>
        <v>2973.4019999999996</v>
      </c>
      <c r="G12" s="194">
        <f t="shared" si="6"/>
        <v>991.13399999999979</v>
      </c>
      <c r="H12" s="194"/>
      <c r="I12" s="194">
        <v>25</v>
      </c>
      <c r="J12" s="194"/>
      <c r="K12" s="194">
        <v>2000</v>
      </c>
      <c r="L12" s="194">
        <f t="shared" si="4"/>
        <v>5989.5359999999991</v>
      </c>
      <c r="M12" s="194"/>
      <c r="N12" s="194">
        <v>6797</v>
      </c>
    </row>
    <row r="13" spans="1:14" ht="24" customHeight="1" x14ac:dyDescent="0.25">
      <c r="A13" s="192">
        <v>5</v>
      </c>
      <c r="B13" s="193" t="s">
        <v>484</v>
      </c>
      <c r="C13" s="194"/>
      <c r="D13" s="194"/>
      <c r="E13" s="194"/>
      <c r="F13" s="194"/>
      <c r="G13" s="194">
        <f t="shared" si="6"/>
        <v>0</v>
      </c>
      <c r="H13" s="194"/>
      <c r="I13" s="194"/>
      <c r="J13" s="194"/>
      <c r="K13" s="194">
        <v>740</v>
      </c>
      <c r="L13" s="194">
        <f t="shared" si="4"/>
        <v>740</v>
      </c>
      <c r="M13" s="194"/>
      <c r="N13" s="194">
        <v>741</v>
      </c>
    </row>
    <row r="14" spans="1:14" ht="24" customHeight="1" x14ac:dyDescent="0.25">
      <c r="A14" s="192">
        <v>6</v>
      </c>
      <c r="B14" s="193" t="s">
        <v>618</v>
      </c>
      <c r="C14" s="194">
        <v>44</v>
      </c>
      <c r="D14" s="194">
        <v>39</v>
      </c>
      <c r="E14" s="194">
        <v>4935</v>
      </c>
      <c r="F14" s="194">
        <f t="shared" si="5"/>
        <v>5023.2820000000002</v>
      </c>
      <c r="G14" s="194">
        <f t="shared" si="6"/>
        <v>1674.4273333333333</v>
      </c>
      <c r="H14" s="194"/>
      <c r="I14" s="194">
        <v>25</v>
      </c>
      <c r="J14" s="194">
        <v>176</v>
      </c>
      <c r="K14" s="194">
        <v>3000</v>
      </c>
      <c r="L14" s="194">
        <f t="shared" si="4"/>
        <v>9898.7093333333323</v>
      </c>
      <c r="M14" s="194"/>
      <c r="N14" s="194">
        <v>8605</v>
      </c>
    </row>
    <row r="15" spans="1:14" s="203" customFormat="1" ht="22.5" customHeight="1" x14ac:dyDescent="0.25">
      <c r="A15" s="195"/>
      <c r="B15" s="196" t="s">
        <v>485</v>
      </c>
      <c r="C15" s="197"/>
      <c r="D15" s="197"/>
      <c r="E15" s="197"/>
      <c r="F15" s="197"/>
      <c r="G15" s="197"/>
      <c r="H15" s="197"/>
      <c r="I15" s="197"/>
      <c r="J15" s="197"/>
      <c r="K15" s="197">
        <v>3000</v>
      </c>
      <c r="L15" s="197">
        <f t="shared" si="4"/>
        <v>3000</v>
      </c>
      <c r="M15" s="197"/>
      <c r="N15" s="197">
        <v>3000</v>
      </c>
    </row>
    <row r="16" spans="1:14" ht="21.75" customHeight="1" x14ac:dyDescent="0.25">
      <c r="A16" s="192">
        <v>7</v>
      </c>
      <c r="B16" s="193" t="s">
        <v>619</v>
      </c>
      <c r="C16" s="194">
        <v>52</v>
      </c>
      <c r="D16" s="194">
        <v>51</v>
      </c>
      <c r="E16" s="194">
        <v>4536</v>
      </c>
      <c r="F16" s="194">
        <f t="shared" si="5"/>
        <v>4640.1220000000003</v>
      </c>
      <c r="G16" s="194">
        <f t="shared" si="6"/>
        <v>1546.7073333333333</v>
      </c>
      <c r="H16" s="194"/>
      <c r="I16" s="194">
        <v>25</v>
      </c>
      <c r="J16" s="194">
        <v>12</v>
      </c>
      <c r="K16" s="194">
        <v>2500</v>
      </c>
      <c r="L16" s="194">
        <f t="shared" si="4"/>
        <v>8723.8293333333331</v>
      </c>
      <c r="M16" s="194">
        <v>720</v>
      </c>
      <c r="N16" s="194">
        <v>9372</v>
      </c>
    </row>
    <row r="17" spans="1:14" ht="24" customHeight="1" x14ac:dyDescent="0.25">
      <c r="A17" s="192">
        <v>8</v>
      </c>
      <c r="B17" s="193" t="s">
        <v>620</v>
      </c>
      <c r="C17" s="194">
        <v>70</v>
      </c>
      <c r="D17" s="194">
        <v>67</v>
      </c>
      <c r="E17" s="194">
        <v>6257</v>
      </c>
      <c r="F17" s="194">
        <f t="shared" si="5"/>
        <v>6396.7620000000006</v>
      </c>
      <c r="G17" s="194">
        <f t="shared" si="6"/>
        <v>2132.2539999999999</v>
      </c>
      <c r="H17" s="194"/>
      <c r="I17" s="194">
        <v>25</v>
      </c>
      <c r="J17" s="194">
        <v>28</v>
      </c>
      <c r="K17" s="194">
        <v>300</v>
      </c>
      <c r="L17" s="194">
        <f t="shared" si="4"/>
        <v>8882.0159999999996</v>
      </c>
      <c r="M17" s="194"/>
      <c r="N17" s="194">
        <v>9449</v>
      </c>
    </row>
    <row r="18" spans="1:14" ht="24" customHeight="1" x14ac:dyDescent="0.25">
      <c r="A18" s="192">
        <v>9</v>
      </c>
      <c r="B18" s="193" t="s">
        <v>621</v>
      </c>
      <c r="C18" s="194">
        <v>48</v>
      </c>
      <c r="D18" s="194">
        <v>44</v>
      </c>
      <c r="E18" s="194">
        <v>4896</v>
      </c>
      <c r="F18" s="194">
        <f t="shared" si="5"/>
        <v>4992.2020000000002</v>
      </c>
      <c r="G18" s="194">
        <f t="shared" si="6"/>
        <v>1664.0673333333334</v>
      </c>
      <c r="H18" s="194"/>
      <c r="I18" s="194">
        <v>25</v>
      </c>
      <c r="J18" s="194">
        <v>20</v>
      </c>
      <c r="K18" s="194"/>
      <c r="L18" s="194">
        <f t="shared" si="4"/>
        <v>6701.2693333333336</v>
      </c>
      <c r="M18" s="194">
        <v>300</v>
      </c>
      <c r="N18" s="194">
        <v>7675</v>
      </c>
    </row>
    <row r="19" spans="1:14" ht="24" customHeight="1" x14ac:dyDescent="0.25">
      <c r="A19" s="192">
        <v>10</v>
      </c>
      <c r="B19" s="193" t="s">
        <v>622</v>
      </c>
      <c r="C19" s="194">
        <v>35</v>
      </c>
      <c r="D19" s="194">
        <v>29</v>
      </c>
      <c r="E19" s="194">
        <v>3039</v>
      </c>
      <c r="F19" s="194">
        <f t="shared" si="5"/>
        <v>3109.462</v>
      </c>
      <c r="G19" s="194">
        <f t="shared" si="6"/>
        <v>1036.4873333333333</v>
      </c>
      <c r="H19" s="194"/>
      <c r="I19" s="194">
        <v>25</v>
      </c>
      <c r="J19" s="194">
        <v>8</v>
      </c>
      <c r="K19" s="194">
        <v>450</v>
      </c>
      <c r="L19" s="194">
        <f t="shared" si="4"/>
        <v>4628.949333333333</v>
      </c>
      <c r="M19" s="194"/>
      <c r="N19" s="194">
        <v>5324</v>
      </c>
    </row>
    <row r="20" spans="1:14" ht="24" customHeight="1" x14ac:dyDescent="0.25">
      <c r="A20" s="192">
        <v>11</v>
      </c>
      <c r="B20" s="193" t="s">
        <v>623</v>
      </c>
      <c r="C20" s="194">
        <v>56</v>
      </c>
      <c r="D20" s="194">
        <v>52</v>
      </c>
      <c r="E20" s="194">
        <v>5333.9937064615387</v>
      </c>
      <c r="F20" s="194">
        <f t="shared" si="5"/>
        <v>5446.0357064615391</v>
      </c>
      <c r="G20" s="194">
        <f t="shared" si="6"/>
        <v>1815.3452354871797</v>
      </c>
      <c r="H20" s="194"/>
      <c r="I20" s="194">
        <v>25</v>
      </c>
      <c r="J20" s="194">
        <v>28</v>
      </c>
      <c r="K20" s="194">
        <v>670</v>
      </c>
      <c r="L20" s="194">
        <f t="shared" si="4"/>
        <v>7984.3809419487188</v>
      </c>
      <c r="M20" s="194"/>
      <c r="N20" s="194">
        <v>8171</v>
      </c>
    </row>
    <row r="21" spans="1:14" ht="24" customHeight="1" x14ac:dyDescent="0.25">
      <c r="A21" s="192">
        <v>12</v>
      </c>
      <c r="B21" s="193" t="s">
        <v>624</v>
      </c>
      <c r="C21" s="194">
        <v>46</v>
      </c>
      <c r="D21" s="194">
        <v>45</v>
      </c>
      <c r="E21" s="194">
        <v>4221.1326901333332</v>
      </c>
      <c r="F21" s="194">
        <f t="shared" si="5"/>
        <v>4313.3746901333334</v>
      </c>
      <c r="G21" s="194">
        <f t="shared" si="6"/>
        <v>1437.7915633777777</v>
      </c>
      <c r="H21" s="194"/>
      <c r="I21" s="194">
        <v>25</v>
      </c>
      <c r="J21" s="194">
        <v>16</v>
      </c>
      <c r="K21" s="194"/>
      <c r="L21" s="194">
        <f t="shared" si="4"/>
        <v>5792.1662535111109</v>
      </c>
      <c r="M21" s="194"/>
      <c r="N21" s="194">
        <v>5967</v>
      </c>
    </row>
    <row r="22" spans="1:14" ht="24" customHeight="1" x14ac:dyDescent="0.25">
      <c r="A22" s="192">
        <v>13</v>
      </c>
      <c r="B22" s="193" t="s">
        <v>625</v>
      </c>
      <c r="C22" s="194">
        <v>47</v>
      </c>
      <c r="D22" s="194">
        <v>47</v>
      </c>
      <c r="E22" s="194">
        <v>4179</v>
      </c>
      <c r="F22" s="194">
        <f t="shared" si="5"/>
        <v>4273.2220000000007</v>
      </c>
      <c r="G22" s="194">
        <f t="shared" si="6"/>
        <v>1424.4073333333336</v>
      </c>
      <c r="H22" s="194"/>
      <c r="I22" s="194">
        <v>25</v>
      </c>
      <c r="J22" s="194">
        <v>12</v>
      </c>
      <c r="K22" s="194"/>
      <c r="L22" s="194">
        <f t="shared" si="4"/>
        <v>5734.6293333333342</v>
      </c>
      <c r="M22" s="194"/>
      <c r="N22" s="194">
        <v>6189</v>
      </c>
    </row>
    <row r="23" spans="1:14" ht="24" customHeight="1" x14ac:dyDescent="0.25">
      <c r="A23" s="192">
        <v>14</v>
      </c>
      <c r="B23" s="193" t="s">
        <v>626</v>
      </c>
      <c r="C23" s="194">
        <v>51</v>
      </c>
      <c r="D23" s="194">
        <v>47</v>
      </c>
      <c r="E23" s="194">
        <v>4598</v>
      </c>
      <c r="F23" s="194">
        <f t="shared" si="5"/>
        <v>4700.1419999999998</v>
      </c>
      <c r="G23" s="194">
        <f t="shared" si="6"/>
        <v>1566.7139999999999</v>
      </c>
      <c r="H23" s="194"/>
      <c r="I23" s="194">
        <v>25</v>
      </c>
      <c r="J23" s="194">
        <v>32</v>
      </c>
      <c r="K23" s="194">
        <v>410</v>
      </c>
      <c r="L23" s="194">
        <f t="shared" si="4"/>
        <v>6733.8559999999998</v>
      </c>
      <c r="M23" s="194">
        <v>1800</v>
      </c>
      <c r="N23" s="194">
        <v>6940</v>
      </c>
    </row>
    <row r="24" spans="1:14" ht="24" customHeight="1" x14ac:dyDescent="0.25">
      <c r="A24" s="192">
        <v>15</v>
      </c>
      <c r="B24" s="193" t="s">
        <v>627</v>
      </c>
      <c r="C24" s="194">
        <v>33</v>
      </c>
      <c r="D24" s="194">
        <v>30</v>
      </c>
      <c r="E24" s="194">
        <v>3051</v>
      </c>
      <c r="F24" s="194">
        <f t="shared" si="5"/>
        <v>3117.502</v>
      </c>
      <c r="G24" s="194">
        <f t="shared" si="6"/>
        <v>1039.1673333333333</v>
      </c>
      <c r="H24" s="194"/>
      <c r="I24" s="194">
        <v>25</v>
      </c>
      <c r="J24" s="194"/>
      <c r="K24" s="194"/>
      <c r="L24" s="194">
        <f t="shared" si="4"/>
        <v>4181.6693333333333</v>
      </c>
      <c r="M24" s="194">
        <v>7026</v>
      </c>
      <c r="N24" s="194">
        <v>4027</v>
      </c>
    </row>
    <row r="25" spans="1:14" ht="24" customHeight="1" x14ac:dyDescent="0.25">
      <c r="A25" s="192">
        <v>16</v>
      </c>
      <c r="B25" s="193" t="s">
        <v>628</v>
      </c>
      <c r="C25" s="194">
        <v>32</v>
      </c>
      <c r="D25" s="194">
        <v>30</v>
      </c>
      <c r="E25" s="194">
        <v>2785.1745152000003</v>
      </c>
      <c r="F25" s="194">
        <f t="shared" si="5"/>
        <v>2849.6965152000002</v>
      </c>
      <c r="G25" s="194">
        <f t="shared" si="6"/>
        <v>949.89883840000005</v>
      </c>
      <c r="H25" s="194"/>
      <c r="I25" s="194">
        <v>25</v>
      </c>
      <c r="J25" s="194">
        <v>12</v>
      </c>
      <c r="K25" s="194"/>
      <c r="L25" s="194">
        <f t="shared" si="4"/>
        <v>3836.5953536000002</v>
      </c>
      <c r="M25" s="194">
        <v>50</v>
      </c>
      <c r="N25" s="194">
        <v>4233</v>
      </c>
    </row>
    <row r="26" spans="1:14" ht="24" customHeight="1" x14ac:dyDescent="0.25">
      <c r="A26" s="192">
        <v>17</v>
      </c>
      <c r="B26" s="193" t="s">
        <v>629</v>
      </c>
      <c r="C26" s="194">
        <v>34</v>
      </c>
      <c r="D26" s="194">
        <v>31</v>
      </c>
      <c r="E26" s="194">
        <v>3277</v>
      </c>
      <c r="F26" s="194">
        <f t="shared" si="5"/>
        <v>3345.482</v>
      </c>
      <c r="G26" s="194">
        <f t="shared" si="6"/>
        <v>1115.1606666666667</v>
      </c>
      <c r="H26" s="194"/>
      <c r="I26" s="194">
        <v>25</v>
      </c>
      <c r="J26" s="194">
        <v>16</v>
      </c>
      <c r="K26" s="194">
        <v>450</v>
      </c>
      <c r="L26" s="194">
        <f t="shared" si="4"/>
        <v>4951.6426666666666</v>
      </c>
      <c r="M26" s="194"/>
      <c r="N26" s="194">
        <v>5343</v>
      </c>
    </row>
    <row r="27" spans="1:14" ht="24" customHeight="1" x14ac:dyDescent="0.25">
      <c r="A27" s="192">
        <v>18</v>
      </c>
      <c r="B27" s="193" t="s">
        <v>630</v>
      </c>
      <c r="C27" s="194">
        <v>60</v>
      </c>
      <c r="D27" s="194">
        <v>56</v>
      </c>
      <c r="E27" s="194">
        <v>5869</v>
      </c>
      <c r="F27" s="194">
        <f t="shared" si="5"/>
        <v>5988.9620000000004</v>
      </c>
      <c r="G27" s="194">
        <f t="shared" si="6"/>
        <v>1996.3206666666667</v>
      </c>
      <c r="H27" s="194"/>
      <c r="I27" s="194">
        <v>25</v>
      </c>
      <c r="J27" s="194"/>
      <c r="K27" s="194">
        <v>6500</v>
      </c>
      <c r="L27" s="194">
        <f t="shared" si="4"/>
        <v>14510.282666666666</v>
      </c>
      <c r="M27" s="194"/>
      <c r="N27" s="194">
        <v>13769</v>
      </c>
    </row>
    <row r="28" spans="1:14" ht="24" customHeight="1" x14ac:dyDescent="0.25">
      <c r="A28" s="192">
        <v>19</v>
      </c>
      <c r="B28" s="193" t="s">
        <v>631</v>
      </c>
      <c r="C28" s="194">
        <v>21</v>
      </c>
      <c r="D28" s="194">
        <v>17</v>
      </c>
      <c r="E28" s="194">
        <v>1728.5088825529413</v>
      </c>
      <c r="F28" s="194">
        <f t="shared" si="5"/>
        <v>1771.2508825529412</v>
      </c>
      <c r="G28" s="194">
        <f t="shared" si="6"/>
        <v>590.41696085098033</v>
      </c>
      <c r="H28" s="194">
        <v>90</v>
      </c>
      <c r="I28" s="194">
        <v>25</v>
      </c>
      <c r="J28" s="194">
        <v>8</v>
      </c>
      <c r="K28" s="194">
        <v>5250</v>
      </c>
      <c r="L28" s="194">
        <f t="shared" si="4"/>
        <v>7734.6678434039213</v>
      </c>
      <c r="M28" s="194"/>
      <c r="N28" s="194">
        <v>9285</v>
      </c>
    </row>
    <row r="29" spans="1:14" s="203" customFormat="1" ht="24" customHeight="1" x14ac:dyDescent="0.25">
      <c r="A29" s="195"/>
      <c r="B29" s="196" t="s">
        <v>486</v>
      </c>
      <c r="C29" s="197"/>
      <c r="D29" s="197"/>
      <c r="E29" s="197"/>
      <c r="F29" s="197"/>
      <c r="G29" s="197">
        <f t="shared" si="6"/>
        <v>0</v>
      </c>
      <c r="H29" s="197"/>
      <c r="I29" s="197"/>
      <c r="J29" s="197"/>
      <c r="K29" s="197">
        <v>5000</v>
      </c>
      <c r="L29" s="197">
        <f t="shared" si="4"/>
        <v>5000</v>
      </c>
      <c r="M29" s="197"/>
      <c r="N29" s="197">
        <v>4700</v>
      </c>
    </row>
    <row r="30" spans="1:14" ht="24" customHeight="1" x14ac:dyDescent="0.25">
      <c r="A30" s="192">
        <v>20</v>
      </c>
      <c r="B30" s="193" t="s">
        <v>632</v>
      </c>
      <c r="C30" s="194">
        <v>79</v>
      </c>
      <c r="D30" s="194">
        <v>73</v>
      </c>
      <c r="E30" s="194">
        <v>8529</v>
      </c>
      <c r="F30" s="194">
        <f t="shared" si="5"/>
        <v>8686.5820000000003</v>
      </c>
      <c r="G30" s="194">
        <f t="shared" si="6"/>
        <v>2895.5273333333334</v>
      </c>
      <c r="H30" s="194"/>
      <c r="I30" s="194">
        <v>25</v>
      </c>
      <c r="J30" s="194"/>
      <c r="K30" s="194">
        <v>300</v>
      </c>
      <c r="L30" s="194">
        <f t="shared" si="4"/>
        <v>11907.109333333334</v>
      </c>
      <c r="M30" s="194">
        <v>500</v>
      </c>
      <c r="N30" s="194">
        <v>11542</v>
      </c>
    </row>
    <row r="31" spans="1:14" ht="24" customHeight="1" x14ac:dyDescent="0.25">
      <c r="A31" s="192">
        <v>21</v>
      </c>
      <c r="B31" s="193" t="s">
        <v>633</v>
      </c>
      <c r="C31" s="194">
        <v>25</v>
      </c>
      <c r="D31" s="194">
        <v>24</v>
      </c>
      <c r="E31" s="194">
        <v>2088</v>
      </c>
      <c r="F31" s="194">
        <f t="shared" si="5"/>
        <v>2138.6619999999998</v>
      </c>
      <c r="G31" s="194">
        <f t="shared" si="6"/>
        <v>712.88733333333323</v>
      </c>
      <c r="H31" s="194">
        <v>90</v>
      </c>
      <c r="I31" s="194">
        <v>25</v>
      </c>
      <c r="J31" s="194">
        <v>8</v>
      </c>
      <c r="K31" s="194"/>
      <c r="L31" s="194">
        <f t="shared" si="4"/>
        <v>2974.5493333333329</v>
      </c>
      <c r="M31" s="194"/>
      <c r="N31" s="194">
        <v>3350</v>
      </c>
    </row>
    <row r="32" spans="1:14" ht="24" customHeight="1" x14ac:dyDescent="0.25">
      <c r="A32" s="192">
        <v>22</v>
      </c>
      <c r="B32" s="193" t="s">
        <v>284</v>
      </c>
      <c r="C32" s="194">
        <v>9</v>
      </c>
      <c r="D32" s="194">
        <v>8</v>
      </c>
      <c r="E32" s="194">
        <v>748.36515599999984</v>
      </c>
      <c r="F32" s="194">
        <f t="shared" si="5"/>
        <v>767.34715599999993</v>
      </c>
      <c r="G32" s="194">
        <f t="shared" si="6"/>
        <v>255.78238533333331</v>
      </c>
      <c r="H32" s="194">
        <v>90</v>
      </c>
      <c r="I32" s="194"/>
      <c r="J32" s="194"/>
      <c r="K32" s="194"/>
      <c r="L32" s="194">
        <f t="shared" si="4"/>
        <v>1113.1295413333332</v>
      </c>
      <c r="M32" s="194"/>
      <c r="N32" s="194">
        <v>952</v>
      </c>
    </row>
    <row r="33" spans="1:14" ht="24" customHeight="1" x14ac:dyDescent="0.25">
      <c r="A33" s="192">
        <v>23</v>
      </c>
      <c r="B33" s="193" t="s">
        <v>285</v>
      </c>
      <c r="C33" s="197">
        <v>5</v>
      </c>
      <c r="D33" s="194">
        <v>5</v>
      </c>
      <c r="E33" s="194">
        <v>392.61499200000003</v>
      </c>
      <c r="F33" s="194">
        <f t="shared" si="5"/>
        <v>403.67699199999998</v>
      </c>
      <c r="G33" s="194">
        <f t="shared" si="6"/>
        <v>134.55899733333331</v>
      </c>
      <c r="H33" s="194">
        <v>90</v>
      </c>
      <c r="I33" s="194"/>
      <c r="J33" s="194"/>
      <c r="K33" s="194"/>
      <c r="L33" s="194">
        <f t="shared" si="4"/>
        <v>628.23598933333324</v>
      </c>
      <c r="M33" s="194"/>
      <c r="N33" s="194">
        <v>723</v>
      </c>
    </row>
    <row r="34" spans="1:14" ht="36.75" customHeight="1" x14ac:dyDescent="0.25">
      <c r="A34" s="192">
        <v>24</v>
      </c>
      <c r="B34" s="193" t="s">
        <v>634</v>
      </c>
      <c r="C34" s="197"/>
      <c r="D34" s="194"/>
      <c r="E34" s="194"/>
      <c r="F34" s="194"/>
      <c r="G34" s="194">
        <f t="shared" si="6"/>
        <v>0</v>
      </c>
      <c r="H34" s="194"/>
      <c r="I34" s="194"/>
      <c r="J34" s="194"/>
      <c r="K34" s="194">
        <v>1200</v>
      </c>
      <c r="L34" s="194">
        <f t="shared" si="4"/>
        <v>1200</v>
      </c>
      <c r="M34" s="194"/>
      <c r="N34" s="194">
        <v>1200</v>
      </c>
    </row>
    <row r="35" spans="1:14" ht="34.5" customHeight="1" x14ac:dyDescent="0.25">
      <c r="A35" s="192">
        <v>25</v>
      </c>
      <c r="B35" s="193" t="s">
        <v>635</v>
      </c>
      <c r="C35" s="197"/>
      <c r="D35" s="194"/>
      <c r="E35" s="194"/>
      <c r="F35" s="194"/>
      <c r="G35" s="194">
        <f t="shared" si="6"/>
        <v>0</v>
      </c>
      <c r="H35" s="194"/>
      <c r="I35" s="194"/>
      <c r="J35" s="194"/>
      <c r="K35" s="194">
        <v>10000</v>
      </c>
      <c r="L35" s="194">
        <f t="shared" si="4"/>
        <v>10000</v>
      </c>
      <c r="M35" s="194"/>
      <c r="N35" s="194">
        <v>10000</v>
      </c>
    </row>
    <row r="36" spans="1:14" ht="24" customHeight="1" x14ac:dyDescent="0.25">
      <c r="A36" s="189" t="s">
        <v>487</v>
      </c>
      <c r="B36" s="191" t="s">
        <v>636</v>
      </c>
      <c r="C36" s="188">
        <f t="shared" ref="C36:N36" si="7">SUM(C37:C61)-C38-C59-C60</f>
        <v>634</v>
      </c>
      <c r="D36" s="188">
        <f t="shared" si="7"/>
        <v>570</v>
      </c>
      <c r="E36" s="188">
        <f t="shared" si="7"/>
        <v>68014.725573211428</v>
      </c>
      <c r="F36" s="188">
        <f t="shared" si="7"/>
        <v>69467.602833211422</v>
      </c>
      <c r="G36" s="188">
        <f t="shared" si="7"/>
        <v>23155.867611070473</v>
      </c>
      <c r="H36" s="188">
        <f t="shared" si="7"/>
        <v>0</v>
      </c>
      <c r="I36" s="188">
        <f t="shared" si="7"/>
        <v>0</v>
      </c>
      <c r="J36" s="188">
        <f t="shared" si="7"/>
        <v>1524</v>
      </c>
      <c r="K36" s="188">
        <f t="shared" si="7"/>
        <v>12381</v>
      </c>
      <c r="L36" s="188">
        <f t="shared" si="7"/>
        <v>106528.47044428189</v>
      </c>
      <c r="M36" s="188">
        <f t="shared" si="7"/>
        <v>790</v>
      </c>
      <c r="N36" s="188">
        <f t="shared" si="7"/>
        <v>89957</v>
      </c>
    </row>
    <row r="37" spans="1:14" ht="24" customHeight="1" x14ac:dyDescent="0.25">
      <c r="A37" s="192">
        <v>26</v>
      </c>
      <c r="B37" s="193" t="s">
        <v>637</v>
      </c>
      <c r="C37" s="194">
        <v>12</v>
      </c>
      <c r="D37" s="194">
        <v>11</v>
      </c>
      <c r="E37" s="194">
        <v>1021.2491519999998</v>
      </c>
      <c r="F37" s="194">
        <f t="shared" si="5"/>
        <v>1046.1711519999999</v>
      </c>
      <c r="G37" s="194">
        <f t="shared" si="6"/>
        <v>348.7237173333333</v>
      </c>
      <c r="H37" s="194"/>
      <c r="I37" s="194"/>
      <c r="J37" s="194"/>
      <c r="K37" s="194">
        <v>2063</v>
      </c>
      <c r="L37" s="194">
        <f t="shared" ref="L37:L57" si="8">SUM(F37:K37)</f>
        <v>3457.8948693333332</v>
      </c>
      <c r="M37" s="194"/>
      <c r="N37" s="194">
        <v>4741</v>
      </c>
    </row>
    <row r="38" spans="1:14" s="203" customFormat="1" ht="24" customHeight="1" x14ac:dyDescent="0.25">
      <c r="A38" s="195"/>
      <c r="B38" s="196" t="s">
        <v>488</v>
      </c>
      <c r="C38" s="197"/>
      <c r="D38" s="197"/>
      <c r="E38" s="197"/>
      <c r="F38" s="197"/>
      <c r="G38" s="197">
        <f t="shared" si="6"/>
        <v>0</v>
      </c>
      <c r="H38" s="197"/>
      <c r="I38" s="197"/>
      <c r="J38" s="197"/>
      <c r="K38" s="197">
        <v>1800</v>
      </c>
      <c r="L38" s="197">
        <f t="shared" si="8"/>
        <v>1800</v>
      </c>
      <c r="M38" s="197"/>
      <c r="N38" s="197">
        <v>1800</v>
      </c>
    </row>
    <row r="39" spans="1:14" ht="22.5" customHeight="1" x14ac:dyDescent="0.25">
      <c r="A39" s="192">
        <v>27</v>
      </c>
      <c r="B39" s="193" t="s">
        <v>638</v>
      </c>
      <c r="C39" s="194">
        <v>13</v>
      </c>
      <c r="D39" s="194">
        <v>12</v>
      </c>
      <c r="E39" s="194">
        <v>1207.1705360000001</v>
      </c>
      <c r="F39" s="194">
        <f t="shared" si="5"/>
        <v>1234.0725360000001</v>
      </c>
      <c r="G39" s="194">
        <f t="shared" si="6"/>
        <v>411.35751200000004</v>
      </c>
      <c r="H39" s="194"/>
      <c r="I39" s="194"/>
      <c r="J39" s="194"/>
      <c r="K39" s="194"/>
      <c r="L39" s="194">
        <f t="shared" si="8"/>
        <v>1645.4300480000002</v>
      </c>
      <c r="M39" s="194"/>
      <c r="N39" s="194">
        <v>1921</v>
      </c>
    </row>
    <row r="40" spans="1:14" ht="24" customHeight="1" x14ac:dyDescent="0.25">
      <c r="A40" s="192">
        <v>28</v>
      </c>
      <c r="B40" s="193" t="s">
        <v>639</v>
      </c>
      <c r="C40" s="194">
        <v>7</v>
      </c>
      <c r="D40" s="194">
        <v>4</v>
      </c>
      <c r="E40" s="194">
        <v>578</v>
      </c>
      <c r="F40" s="194">
        <f t="shared" si="5"/>
        <v>593.02200000000005</v>
      </c>
      <c r="G40" s="194">
        <f t="shared" si="6"/>
        <v>197.67400000000001</v>
      </c>
      <c r="H40" s="194"/>
      <c r="I40" s="194"/>
      <c r="J40" s="194"/>
      <c r="K40" s="194">
        <v>100</v>
      </c>
      <c r="L40" s="194">
        <f t="shared" si="8"/>
        <v>890.69600000000003</v>
      </c>
      <c r="M40" s="194"/>
      <c r="N40" s="194">
        <v>1630</v>
      </c>
    </row>
    <row r="41" spans="1:14" ht="24" customHeight="1" x14ac:dyDescent="0.25">
      <c r="A41" s="192">
        <v>29</v>
      </c>
      <c r="B41" s="193" t="s">
        <v>640</v>
      </c>
      <c r="C41" s="194">
        <v>16</v>
      </c>
      <c r="D41" s="194">
        <v>15</v>
      </c>
      <c r="E41" s="194">
        <v>1451</v>
      </c>
      <c r="F41" s="194">
        <f t="shared" si="5"/>
        <v>1483.8420000000001</v>
      </c>
      <c r="G41" s="194">
        <f t="shared" si="6"/>
        <v>494.61400000000003</v>
      </c>
      <c r="H41" s="194"/>
      <c r="I41" s="194"/>
      <c r="J41" s="194"/>
      <c r="K41" s="194"/>
      <c r="L41" s="194">
        <f t="shared" si="8"/>
        <v>1978.4560000000001</v>
      </c>
      <c r="M41" s="194"/>
      <c r="N41" s="194">
        <v>2289</v>
      </c>
    </row>
    <row r="42" spans="1:14" ht="30" x14ac:dyDescent="0.25">
      <c r="A42" s="192">
        <v>30</v>
      </c>
      <c r="B42" s="193" t="s">
        <v>641</v>
      </c>
      <c r="C42" s="194">
        <v>15</v>
      </c>
      <c r="D42" s="194">
        <v>14</v>
      </c>
      <c r="E42" s="194">
        <v>1154</v>
      </c>
      <c r="F42" s="194">
        <f t="shared" si="5"/>
        <v>1184.8620000000001</v>
      </c>
      <c r="G42" s="194">
        <f t="shared" si="6"/>
        <v>394.95400000000001</v>
      </c>
      <c r="H42" s="194"/>
      <c r="I42" s="194"/>
      <c r="J42" s="194"/>
      <c r="K42" s="194">
        <v>100</v>
      </c>
      <c r="L42" s="194">
        <f t="shared" si="8"/>
        <v>1679.816</v>
      </c>
      <c r="M42" s="194">
        <v>150</v>
      </c>
      <c r="N42" s="194">
        <v>1688</v>
      </c>
    </row>
    <row r="43" spans="1:14" ht="24" customHeight="1" x14ac:dyDescent="0.25">
      <c r="A43" s="192">
        <v>31</v>
      </c>
      <c r="B43" s="193" t="s">
        <v>642</v>
      </c>
      <c r="C43" s="194">
        <v>14</v>
      </c>
      <c r="D43" s="194">
        <v>14</v>
      </c>
      <c r="E43" s="194">
        <v>1027.9579199999998</v>
      </c>
      <c r="F43" s="194">
        <f t="shared" si="5"/>
        <v>1056.8399199999999</v>
      </c>
      <c r="G43" s="194">
        <f t="shared" si="6"/>
        <v>352.27997333333326</v>
      </c>
      <c r="H43" s="194"/>
      <c r="I43" s="194"/>
      <c r="J43" s="194"/>
      <c r="K43" s="194"/>
      <c r="L43" s="194">
        <f t="shared" si="8"/>
        <v>1409.119893333333</v>
      </c>
      <c r="M43" s="194"/>
      <c r="N43" s="194">
        <v>1465</v>
      </c>
    </row>
    <row r="44" spans="1:14" ht="24" customHeight="1" x14ac:dyDescent="0.25">
      <c r="A44" s="192">
        <v>32</v>
      </c>
      <c r="B44" s="193" t="s">
        <v>489</v>
      </c>
      <c r="C44" s="194">
        <v>8</v>
      </c>
      <c r="D44" s="194">
        <v>7</v>
      </c>
      <c r="E44" s="194">
        <v>632.40822857142871</v>
      </c>
      <c r="F44" s="194">
        <f t="shared" si="5"/>
        <v>649.41022857142877</v>
      </c>
      <c r="G44" s="194">
        <f t="shared" si="6"/>
        <v>216.47007619047625</v>
      </c>
      <c r="H44" s="194"/>
      <c r="I44" s="194"/>
      <c r="J44" s="194"/>
      <c r="K44" s="194"/>
      <c r="L44" s="194">
        <f t="shared" si="8"/>
        <v>865.88030476190499</v>
      </c>
      <c r="M44" s="194"/>
      <c r="N44" s="194">
        <v>987</v>
      </c>
    </row>
    <row r="45" spans="1:14" ht="24" customHeight="1" x14ac:dyDescent="0.25">
      <c r="A45" s="192">
        <v>33</v>
      </c>
      <c r="B45" s="193" t="s">
        <v>490</v>
      </c>
      <c r="C45" s="194"/>
      <c r="D45" s="194"/>
      <c r="E45" s="194">
        <v>0</v>
      </c>
      <c r="F45" s="194"/>
      <c r="G45" s="194">
        <f t="shared" si="6"/>
        <v>0</v>
      </c>
      <c r="H45" s="194"/>
      <c r="I45" s="194"/>
      <c r="J45" s="194"/>
      <c r="K45" s="194"/>
      <c r="L45" s="194">
        <f t="shared" si="8"/>
        <v>0</v>
      </c>
      <c r="M45" s="194"/>
      <c r="N45" s="194"/>
    </row>
    <row r="46" spans="1:14" ht="21.75" customHeight="1" x14ac:dyDescent="0.25">
      <c r="A46" s="192">
        <v>34</v>
      </c>
      <c r="B46" s="193" t="s">
        <v>643</v>
      </c>
      <c r="C46" s="194">
        <v>78</v>
      </c>
      <c r="D46" s="194">
        <v>75</v>
      </c>
      <c r="E46" s="194">
        <v>7840.913720640001</v>
      </c>
      <c r="F46" s="194">
        <f t="shared" si="5"/>
        <v>7996.5157206400008</v>
      </c>
      <c r="G46" s="194">
        <f t="shared" si="6"/>
        <v>2665.5052402133333</v>
      </c>
      <c r="H46" s="194"/>
      <c r="I46" s="194"/>
      <c r="J46" s="194">
        <v>300</v>
      </c>
      <c r="K46" s="194">
        <v>100</v>
      </c>
      <c r="L46" s="194">
        <f t="shared" si="8"/>
        <v>11062.020960853333</v>
      </c>
      <c r="M46" s="194"/>
      <c r="N46" s="194">
        <v>10897</v>
      </c>
    </row>
    <row r="47" spans="1:14" ht="24" customHeight="1" x14ac:dyDescent="0.25">
      <c r="A47" s="192">
        <v>35</v>
      </c>
      <c r="B47" s="193" t="s">
        <v>644</v>
      </c>
      <c r="C47" s="194">
        <v>19</v>
      </c>
      <c r="D47" s="194">
        <v>17</v>
      </c>
      <c r="E47" s="194">
        <v>1559</v>
      </c>
      <c r="F47" s="194">
        <f t="shared" si="5"/>
        <v>1597.7819999999999</v>
      </c>
      <c r="G47" s="194">
        <f t="shared" si="6"/>
        <v>532.59399999999994</v>
      </c>
      <c r="H47" s="194"/>
      <c r="I47" s="194"/>
      <c r="J47" s="194"/>
      <c r="K47" s="194">
        <v>300</v>
      </c>
      <c r="L47" s="194">
        <f t="shared" si="8"/>
        <v>2430.3759999999997</v>
      </c>
      <c r="M47" s="194"/>
      <c r="N47" s="194">
        <v>3132</v>
      </c>
    </row>
    <row r="48" spans="1:14" ht="34.5" customHeight="1" x14ac:dyDescent="0.25">
      <c r="A48" s="192">
        <v>36</v>
      </c>
      <c r="B48" s="193" t="s">
        <v>645</v>
      </c>
      <c r="C48" s="194">
        <v>270</v>
      </c>
      <c r="D48" s="194">
        <v>237</v>
      </c>
      <c r="E48" s="194">
        <v>36119</v>
      </c>
      <c r="F48" s="194">
        <f t="shared" si="5"/>
        <v>36654.761999999995</v>
      </c>
      <c r="G48" s="194">
        <f t="shared" si="6"/>
        <v>12218.253999999997</v>
      </c>
      <c r="H48" s="194"/>
      <c r="I48" s="194"/>
      <c r="J48" s="194">
        <v>948</v>
      </c>
      <c r="K48" s="194">
        <v>200</v>
      </c>
      <c r="L48" s="194">
        <f t="shared" si="8"/>
        <v>50021.015999999989</v>
      </c>
      <c r="M48" s="194"/>
      <c r="N48" s="194">
        <v>40187</v>
      </c>
    </row>
    <row r="49" spans="1:14" ht="24" customHeight="1" x14ac:dyDescent="0.25">
      <c r="A49" s="192">
        <v>37</v>
      </c>
      <c r="B49" s="193" t="s">
        <v>646</v>
      </c>
      <c r="C49" s="194">
        <v>25</v>
      </c>
      <c r="D49" s="194">
        <v>22</v>
      </c>
      <c r="E49" s="194">
        <v>2065</v>
      </c>
      <c r="F49" s="194">
        <f t="shared" si="5"/>
        <v>2115.6619999999998</v>
      </c>
      <c r="G49" s="194">
        <f t="shared" si="6"/>
        <v>705.2206666666666</v>
      </c>
      <c r="H49" s="194"/>
      <c r="I49" s="194"/>
      <c r="J49" s="194">
        <v>16</v>
      </c>
      <c r="K49" s="194"/>
      <c r="L49" s="194">
        <f t="shared" si="8"/>
        <v>2836.8826666666664</v>
      </c>
      <c r="M49" s="194"/>
      <c r="N49" s="194">
        <v>3503</v>
      </c>
    </row>
    <row r="50" spans="1:14" ht="24" customHeight="1" x14ac:dyDescent="0.25">
      <c r="A50" s="192">
        <v>38</v>
      </c>
      <c r="B50" s="193" t="s">
        <v>647</v>
      </c>
      <c r="C50" s="194">
        <v>26</v>
      </c>
      <c r="D50" s="194">
        <v>24</v>
      </c>
      <c r="E50" s="194">
        <v>2159</v>
      </c>
      <c r="F50" s="194">
        <f t="shared" si="5"/>
        <v>2211.6419999999998</v>
      </c>
      <c r="G50" s="194">
        <f t="shared" si="6"/>
        <v>737.21399999999994</v>
      </c>
      <c r="H50" s="194"/>
      <c r="I50" s="194"/>
      <c r="J50" s="194">
        <v>16</v>
      </c>
      <c r="K50" s="194"/>
      <c r="L50" s="194">
        <f t="shared" si="8"/>
        <v>2964.8559999999998</v>
      </c>
      <c r="M50" s="194">
        <v>400</v>
      </c>
      <c r="N50" s="194">
        <v>3290</v>
      </c>
    </row>
    <row r="51" spans="1:14" ht="33" customHeight="1" x14ac:dyDescent="0.25">
      <c r="A51" s="192">
        <v>39</v>
      </c>
      <c r="B51" s="193" t="s">
        <v>648</v>
      </c>
      <c r="C51" s="194">
        <v>12</v>
      </c>
      <c r="D51" s="194">
        <v>8</v>
      </c>
      <c r="E51" s="194">
        <v>1036</v>
      </c>
      <c r="F51" s="194">
        <f t="shared" si="5"/>
        <v>1060.922</v>
      </c>
      <c r="G51" s="194">
        <f t="shared" si="6"/>
        <v>353.64066666666668</v>
      </c>
      <c r="H51" s="194"/>
      <c r="I51" s="194"/>
      <c r="J51" s="194">
        <v>8</v>
      </c>
      <c r="K51" s="194"/>
      <c r="L51" s="194">
        <f t="shared" si="8"/>
        <v>1422.5626666666667</v>
      </c>
      <c r="M51" s="194">
        <v>40</v>
      </c>
      <c r="N51" s="194"/>
    </row>
    <row r="52" spans="1:14" ht="30" x14ac:dyDescent="0.25">
      <c r="A52" s="192">
        <v>40</v>
      </c>
      <c r="B52" s="193" t="s">
        <v>649</v>
      </c>
      <c r="C52" s="194">
        <v>38</v>
      </c>
      <c r="D52" s="194">
        <v>35</v>
      </c>
      <c r="E52" s="194">
        <v>3179</v>
      </c>
      <c r="F52" s="194">
        <f t="shared" si="5"/>
        <v>3255.4019999999996</v>
      </c>
      <c r="G52" s="194">
        <f t="shared" si="6"/>
        <v>1085.1339999999998</v>
      </c>
      <c r="H52" s="194"/>
      <c r="I52" s="194"/>
      <c r="J52" s="194">
        <v>56</v>
      </c>
      <c r="K52" s="194"/>
      <c r="L52" s="194">
        <f t="shared" si="8"/>
        <v>4396.5359999999991</v>
      </c>
      <c r="M52" s="194"/>
      <c r="N52" s="194"/>
    </row>
    <row r="53" spans="1:14" ht="36.75" customHeight="1" x14ac:dyDescent="0.25">
      <c r="A53" s="192">
        <v>41</v>
      </c>
      <c r="B53" s="199" t="s">
        <v>650</v>
      </c>
      <c r="C53" s="194">
        <v>34</v>
      </c>
      <c r="D53" s="194">
        <v>29</v>
      </c>
      <c r="E53" s="194">
        <v>2746</v>
      </c>
      <c r="F53" s="194">
        <f t="shared" si="5"/>
        <v>2814.482</v>
      </c>
      <c r="G53" s="194">
        <f t="shared" si="6"/>
        <v>938.16066666666666</v>
      </c>
      <c r="H53" s="194"/>
      <c r="I53" s="194"/>
      <c r="J53" s="194">
        <v>32</v>
      </c>
      <c r="K53" s="194"/>
      <c r="L53" s="194">
        <f t="shared" si="8"/>
        <v>3784.6426666666666</v>
      </c>
      <c r="M53" s="194">
        <v>200</v>
      </c>
      <c r="N53" s="194"/>
    </row>
    <row r="54" spans="1:14" ht="33.75" customHeight="1" x14ac:dyDescent="0.25">
      <c r="A54" s="192">
        <v>42</v>
      </c>
      <c r="B54" s="193" t="s">
        <v>651</v>
      </c>
      <c r="C54" s="194">
        <v>15</v>
      </c>
      <c r="D54" s="194">
        <v>14</v>
      </c>
      <c r="E54" s="194">
        <v>1281</v>
      </c>
      <c r="F54" s="194">
        <f t="shared" si="5"/>
        <v>1311.8620000000001</v>
      </c>
      <c r="G54" s="194">
        <f t="shared" si="6"/>
        <v>437.28733333333332</v>
      </c>
      <c r="H54" s="194"/>
      <c r="I54" s="194"/>
      <c r="J54" s="194"/>
      <c r="K54" s="194"/>
      <c r="L54" s="194">
        <f t="shared" si="8"/>
        <v>1749.1493333333333</v>
      </c>
      <c r="M54" s="194"/>
      <c r="N54" s="194">
        <v>1860</v>
      </c>
    </row>
    <row r="55" spans="1:14" ht="24" customHeight="1" x14ac:dyDescent="0.25">
      <c r="A55" s="192">
        <v>43</v>
      </c>
      <c r="B55" s="193" t="s">
        <v>652</v>
      </c>
      <c r="C55" s="194">
        <v>21</v>
      </c>
      <c r="D55" s="194">
        <v>21</v>
      </c>
      <c r="E55" s="194">
        <v>1977.6167400000002</v>
      </c>
      <c r="F55" s="194">
        <v>2197</v>
      </c>
      <c r="G55" s="194">
        <f t="shared" si="6"/>
        <v>732.33333333333326</v>
      </c>
      <c r="H55" s="194"/>
      <c r="I55" s="194"/>
      <c r="J55" s="194">
        <v>104</v>
      </c>
      <c r="K55" s="194"/>
      <c r="L55" s="194">
        <f t="shared" si="8"/>
        <v>3033.333333333333</v>
      </c>
      <c r="M55" s="194"/>
      <c r="N55" s="194">
        <v>2567</v>
      </c>
    </row>
    <row r="56" spans="1:14" ht="24" customHeight="1" x14ac:dyDescent="0.25">
      <c r="A56" s="192">
        <v>44</v>
      </c>
      <c r="B56" s="193" t="s">
        <v>653</v>
      </c>
      <c r="C56" s="194">
        <v>11</v>
      </c>
      <c r="D56" s="194">
        <v>11</v>
      </c>
      <c r="E56" s="194">
        <v>980.40927599999998</v>
      </c>
      <c r="F56" s="194">
        <f t="shared" si="5"/>
        <v>1003.351276</v>
      </c>
      <c r="G56" s="194">
        <f t="shared" si="6"/>
        <v>334.45042533333333</v>
      </c>
      <c r="H56" s="194"/>
      <c r="I56" s="194"/>
      <c r="J56" s="194">
        <v>44</v>
      </c>
      <c r="K56" s="194"/>
      <c r="L56" s="194">
        <f t="shared" si="8"/>
        <v>1381.8017013333333</v>
      </c>
      <c r="M56" s="194"/>
      <c r="N56" s="194">
        <v>1300</v>
      </c>
    </row>
    <row r="57" spans="1:14" ht="24" customHeight="1" x14ac:dyDescent="0.25">
      <c r="A57" s="192">
        <v>45</v>
      </c>
      <c r="B57" s="193" t="s">
        <v>491</v>
      </c>
      <c r="C57" s="194"/>
      <c r="D57" s="194"/>
      <c r="E57" s="194"/>
      <c r="F57" s="194"/>
      <c r="G57" s="194"/>
      <c r="H57" s="194"/>
      <c r="I57" s="194"/>
      <c r="J57" s="194"/>
      <c r="K57" s="194">
        <v>2000</v>
      </c>
      <c r="L57" s="194">
        <f t="shared" si="8"/>
        <v>2000</v>
      </c>
      <c r="M57" s="194"/>
      <c r="N57" s="194"/>
    </row>
    <row r="58" spans="1:14" ht="22.5" customHeight="1" x14ac:dyDescent="0.25">
      <c r="A58" s="192">
        <v>46</v>
      </c>
      <c r="B58" s="193" t="s">
        <v>654</v>
      </c>
      <c r="C58" s="194">
        <f>SUM(C59:C60)</f>
        <v>0</v>
      </c>
      <c r="D58" s="194">
        <f>SUM(D59:D60)</f>
        <v>0</v>
      </c>
      <c r="E58" s="194">
        <f>SUM(E59:E60)</f>
        <v>0</v>
      </c>
      <c r="F58" s="194">
        <f>SUM(F59:F60)</f>
        <v>0</v>
      </c>
      <c r="G58" s="194">
        <f t="shared" si="6"/>
        <v>0</v>
      </c>
      <c r="H58" s="194">
        <f>SUM(H59:H60)</f>
        <v>0</v>
      </c>
      <c r="I58" s="194">
        <f>SUM(I59:I60)</f>
        <v>0</v>
      </c>
      <c r="J58" s="194"/>
      <c r="K58" s="194">
        <f>SUM(K59:K60)</f>
        <v>2818</v>
      </c>
      <c r="L58" s="194">
        <f>SUM(L59:L60)</f>
        <v>2818</v>
      </c>
      <c r="M58" s="194">
        <f t="shared" ref="M58:N58" si="9">SUM(M59:M60)</f>
        <v>0</v>
      </c>
      <c r="N58" s="194">
        <f t="shared" si="9"/>
        <v>3500</v>
      </c>
    </row>
    <row r="59" spans="1:14" ht="22.5" customHeight="1" x14ac:dyDescent="0.25">
      <c r="A59" s="192"/>
      <c r="B59" s="193" t="s">
        <v>492</v>
      </c>
      <c r="C59" s="194"/>
      <c r="D59" s="194"/>
      <c r="E59" s="194"/>
      <c r="F59" s="194"/>
      <c r="G59" s="194">
        <f t="shared" si="6"/>
        <v>0</v>
      </c>
      <c r="H59" s="194"/>
      <c r="I59" s="194"/>
      <c r="J59" s="194"/>
      <c r="K59" s="194">
        <v>1000</v>
      </c>
      <c r="L59" s="194">
        <f>SUM(F59:K59)</f>
        <v>1000</v>
      </c>
      <c r="M59" s="194"/>
      <c r="N59" s="194">
        <v>1000</v>
      </c>
    </row>
    <row r="60" spans="1:14" ht="22.5" customHeight="1" x14ac:dyDescent="0.25">
      <c r="A60" s="192"/>
      <c r="B60" s="193" t="s">
        <v>493</v>
      </c>
      <c r="C60" s="194"/>
      <c r="D60" s="194"/>
      <c r="E60" s="194"/>
      <c r="F60" s="194"/>
      <c r="G60" s="194">
        <f t="shared" si="6"/>
        <v>0</v>
      </c>
      <c r="H60" s="194"/>
      <c r="I60" s="194"/>
      <c r="J60" s="194"/>
      <c r="K60" s="194">
        <v>1818</v>
      </c>
      <c r="L60" s="194">
        <f>SUM(F60:K60)</f>
        <v>1818</v>
      </c>
      <c r="M60" s="194"/>
      <c r="N60" s="194">
        <v>2500</v>
      </c>
    </row>
    <row r="61" spans="1:14" ht="24" customHeight="1" x14ac:dyDescent="0.25">
      <c r="A61" s="192">
        <v>47</v>
      </c>
      <c r="B61" s="193" t="s">
        <v>494</v>
      </c>
      <c r="C61" s="194"/>
      <c r="D61" s="194"/>
      <c r="E61" s="194"/>
      <c r="F61" s="194"/>
      <c r="G61" s="194">
        <f t="shared" si="6"/>
        <v>0</v>
      </c>
      <c r="H61" s="194"/>
      <c r="I61" s="194"/>
      <c r="J61" s="194"/>
      <c r="K61" s="194">
        <v>4700</v>
      </c>
      <c r="L61" s="194">
        <f>SUM(F61:K61)</f>
        <v>4700</v>
      </c>
      <c r="M61" s="194"/>
      <c r="N61" s="194">
        <v>5000</v>
      </c>
    </row>
    <row r="62" spans="1:14" ht="24" customHeight="1" x14ac:dyDescent="0.25">
      <c r="A62" s="189" t="s">
        <v>495</v>
      </c>
      <c r="B62" s="191" t="s">
        <v>655</v>
      </c>
      <c r="C62" s="188">
        <f t="shared" ref="C62:N62" si="10">SUM(C63:C100)</f>
        <v>217</v>
      </c>
      <c r="D62" s="188">
        <f t="shared" si="10"/>
        <v>191</v>
      </c>
      <c r="E62" s="188">
        <f t="shared" si="10"/>
        <v>15092.506020190478</v>
      </c>
      <c r="F62" s="188">
        <f t="shared" si="10"/>
        <v>15554.702020190474</v>
      </c>
      <c r="G62" s="188">
        <f t="shared" si="10"/>
        <v>3888.6755050476186</v>
      </c>
      <c r="H62" s="188">
        <f t="shared" si="10"/>
        <v>0</v>
      </c>
      <c r="I62" s="188">
        <f t="shared" si="10"/>
        <v>0</v>
      </c>
      <c r="J62" s="188">
        <f t="shared" si="10"/>
        <v>0</v>
      </c>
      <c r="K62" s="188">
        <f t="shared" si="10"/>
        <v>13311</v>
      </c>
      <c r="L62" s="188">
        <f t="shared" si="10"/>
        <v>32754.377525238095</v>
      </c>
      <c r="M62" s="188">
        <f t="shared" si="10"/>
        <v>14550</v>
      </c>
      <c r="N62" s="188">
        <f t="shared" si="10"/>
        <v>38665</v>
      </c>
    </row>
    <row r="63" spans="1:14" ht="24" customHeight="1" x14ac:dyDescent="0.25">
      <c r="A63" s="192">
        <v>1</v>
      </c>
      <c r="B63" s="193" t="s">
        <v>656</v>
      </c>
      <c r="C63" s="194">
        <v>6</v>
      </c>
      <c r="D63" s="194">
        <v>5</v>
      </c>
      <c r="E63" s="194">
        <v>352</v>
      </c>
      <c r="F63" s="194">
        <f t="shared" si="5"/>
        <v>365.04199999999997</v>
      </c>
      <c r="G63" s="194">
        <f>20/80*F63</f>
        <v>91.260499999999993</v>
      </c>
      <c r="H63" s="194"/>
      <c r="I63" s="194"/>
      <c r="J63" s="194"/>
      <c r="K63" s="194"/>
      <c r="L63" s="194">
        <f t="shared" ref="L63:L100" si="11">SUM(F63:K63)</f>
        <v>456.30249999999995</v>
      </c>
      <c r="M63" s="194">
        <v>250</v>
      </c>
      <c r="N63" s="194">
        <v>619</v>
      </c>
    </row>
    <row r="64" spans="1:14" ht="24" customHeight="1" x14ac:dyDescent="0.25">
      <c r="A64" s="192">
        <v>2</v>
      </c>
      <c r="B64" s="193" t="s">
        <v>657</v>
      </c>
      <c r="C64" s="194">
        <v>5</v>
      </c>
      <c r="D64" s="194">
        <v>5</v>
      </c>
      <c r="E64" s="194">
        <v>335</v>
      </c>
      <c r="F64" s="194">
        <f t="shared" si="5"/>
        <v>346.06199999999995</v>
      </c>
      <c r="G64" s="194">
        <f>20/80*F64</f>
        <v>86.515499999999989</v>
      </c>
      <c r="H64" s="194"/>
      <c r="I64" s="194"/>
      <c r="J64" s="194"/>
      <c r="K64" s="194"/>
      <c r="L64" s="194">
        <f t="shared" si="11"/>
        <v>432.57749999999993</v>
      </c>
      <c r="M64" s="194">
        <v>250</v>
      </c>
      <c r="N64" s="194">
        <v>648</v>
      </c>
    </row>
    <row r="65" spans="1:14" ht="33.75" customHeight="1" x14ac:dyDescent="0.25">
      <c r="A65" s="192">
        <v>3</v>
      </c>
      <c r="B65" s="193" t="s">
        <v>658</v>
      </c>
      <c r="C65" s="194">
        <v>12</v>
      </c>
      <c r="D65" s="194">
        <v>10</v>
      </c>
      <c r="E65" s="194">
        <v>655</v>
      </c>
      <c r="F65" s="194">
        <f t="shared" si="5"/>
        <v>679.92200000000003</v>
      </c>
      <c r="G65" s="194">
        <f>20/80*F65</f>
        <v>169.98050000000001</v>
      </c>
      <c r="H65" s="194"/>
      <c r="I65" s="194"/>
      <c r="J65" s="194"/>
      <c r="K65" s="194">
        <v>200</v>
      </c>
      <c r="L65" s="194">
        <f t="shared" si="11"/>
        <v>1049.9025000000001</v>
      </c>
      <c r="M65" s="194"/>
      <c r="N65" s="194">
        <v>1132</v>
      </c>
    </row>
    <row r="66" spans="1:14" ht="24" customHeight="1" x14ac:dyDescent="0.25">
      <c r="A66" s="192">
        <v>4</v>
      </c>
      <c r="B66" s="193" t="s">
        <v>659</v>
      </c>
      <c r="C66" s="194">
        <v>9</v>
      </c>
      <c r="D66" s="194">
        <v>5</v>
      </c>
      <c r="E66" s="194">
        <v>671</v>
      </c>
      <c r="F66" s="194">
        <f t="shared" si="5"/>
        <v>689.98200000000008</v>
      </c>
      <c r="G66" s="194">
        <f t="shared" ref="G66:G100" si="12">20/80*F66</f>
        <v>172.49550000000002</v>
      </c>
      <c r="H66" s="194"/>
      <c r="I66" s="194"/>
      <c r="J66" s="194"/>
      <c r="K66" s="194">
        <v>300</v>
      </c>
      <c r="L66" s="194">
        <f t="shared" si="11"/>
        <v>1162.4775</v>
      </c>
      <c r="M66" s="194"/>
      <c r="N66" s="194">
        <v>1641</v>
      </c>
    </row>
    <row r="67" spans="1:14" ht="24" customHeight="1" x14ac:dyDescent="0.25">
      <c r="A67" s="192">
        <v>5</v>
      </c>
      <c r="B67" s="193" t="s">
        <v>660</v>
      </c>
      <c r="C67" s="194">
        <v>4</v>
      </c>
      <c r="D67" s="194">
        <v>4</v>
      </c>
      <c r="E67" s="194">
        <v>325.80556800000011</v>
      </c>
      <c r="F67" s="194">
        <f t="shared" si="5"/>
        <v>334.8875680000001</v>
      </c>
      <c r="G67" s="194">
        <f t="shared" si="12"/>
        <v>83.721892000000025</v>
      </c>
      <c r="H67" s="194"/>
      <c r="I67" s="194"/>
      <c r="J67" s="194"/>
      <c r="K67" s="194"/>
      <c r="L67" s="194">
        <f t="shared" si="11"/>
        <v>418.60946000000013</v>
      </c>
      <c r="M67" s="194"/>
      <c r="N67" s="194">
        <v>633</v>
      </c>
    </row>
    <row r="68" spans="1:14" ht="30" x14ac:dyDescent="0.25">
      <c r="A68" s="192">
        <v>6</v>
      </c>
      <c r="B68" s="193" t="s">
        <v>663</v>
      </c>
      <c r="C68" s="194">
        <v>17</v>
      </c>
      <c r="D68" s="194">
        <v>17</v>
      </c>
      <c r="E68" s="194">
        <v>1314</v>
      </c>
      <c r="F68" s="194">
        <f t="shared" si="5"/>
        <v>1348.8220000000001</v>
      </c>
      <c r="G68" s="194">
        <f t="shared" si="12"/>
        <v>337.20550000000003</v>
      </c>
      <c r="H68" s="194"/>
      <c r="I68" s="194"/>
      <c r="J68" s="194"/>
      <c r="K68" s="194">
        <v>3000</v>
      </c>
      <c r="L68" s="194">
        <f t="shared" si="11"/>
        <v>4686.0275000000001</v>
      </c>
      <c r="M68" s="194">
        <v>2500</v>
      </c>
      <c r="N68" s="194">
        <v>5223</v>
      </c>
    </row>
    <row r="69" spans="1:14" ht="24.75" customHeight="1" x14ac:dyDescent="0.25">
      <c r="A69" s="192">
        <v>7</v>
      </c>
      <c r="B69" s="193" t="s">
        <v>661</v>
      </c>
      <c r="C69" s="194">
        <v>6</v>
      </c>
      <c r="D69" s="194">
        <v>6</v>
      </c>
      <c r="E69" s="194">
        <v>359</v>
      </c>
      <c r="F69" s="194">
        <f t="shared" si="5"/>
        <v>372.04199999999997</v>
      </c>
      <c r="G69" s="194">
        <f t="shared" si="12"/>
        <v>93.010499999999993</v>
      </c>
      <c r="H69" s="194"/>
      <c r="I69" s="194"/>
      <c r="J69" s="194"/>
      <c r="K69" s="194"/>
      <c r="L69" s="194">
        <f t="shared" si="11"/>
        <v>465.05249999999995</v>
      </c>
      <c r="M69" s="194">
        <v>2500</v>
      </c>
      <c r="N69" s="194">
        <v>1336</v>
      </c>
    </row>
    <row r="70" spans="1:14" ht="36.75" customHeight="1" x14ac:dyDescent="0.25">
      <c r="A70" s="192">
        <v>8</v>
      </c>
      <c r="B70" s="193" t="s">
        <v>664</v>
      </c>
      <c r="C70" s="194">
        <v>13</v>
      </c>
      <c r="D70" s="194">
        <v>12</v>
      </c>
      <c r="E70" s="194">
        <v>997</v>
      </c>
      <c r="F70" s="194">
        <f t="shared" si="5"/>
        <v>1023.902</v>
      </c>
      <c r="G70" s="194">
        <f t="shared" si="12"/>
        <v>255.97550000000001</v>
      </c>
      <c r="H70" s="194"/>
      <c r="I70" s="194"/>
      <c r="J70" s="194"/>
      <c r="K70" s="194">
        <v>250</v>
      </c>
      <c r="L70" s="194">
        <f t="shared" si="11"/>
        <v>1529.8775000000001</v>
      </c>
      <c r="M70" s="194">
        <v>900</v>
      </c>
      <c r="N70" s="194">
        <v>1644</v>
      </c>
    </row>
    <row r="71" spans="1:14" ht="26.25" customHeight="1" x14ac:dyDescent="0.25">
      <c r="A71" s="192">
        <v>9</v>
      </c>
      <c r="B71" s="193" t="s">
        <v>496</v>
      </c>
      <c r="C71" s="194">
        <v>9</v>
      </c>
      <c r="D71" s="194">
        <v>5</v>
      </c>
      <c r="E71" s="194">
        <v>829</v>
      </c>
      <c r="F71" s="194">
        <f t="shared" si="5"/>
        <v>847.98200000000008</v>
      </c>
      <c r="G71" s="194">
        <f t="shared" si="12"/>
        <v>211.99550000000002</v>
      </c>
      <c r="H71" s="194"/>
      <c r="I71" s="194"/>
      <c r="J71" s="194"/>
      <c r="K71" s="194">
        <v>960</v>
      </c>
      <c r="L71" s="194">
        <f t="shared" si="11"/>
        <v>2019.9775000000002</v>
      </c>
      <c r="M71" s="194">
        <v>5000</v>
      </c>
      <c r="N71" s="194">
        <v>1613</v>
      </c>
    </row>
    <row r="72" spans="1:14" ht="26.25" customHeight="1" x14ac:dyDescent="0.25">
      <c r="A72" s="192">
        <v>10</v>
      </c>
      <c r="B72" s="193" t="s">
        <v>662</v>
      </c>
      <c r="C72" s="194">
        <v>14</v>
      </c>
      <c r="D72" s="194">
        <v>14</v>
      </c>
      <c r="E72" s="194">
        <v>928.15324799999985</v>
      </c>
      <c r="F72" s="194">
        <f t="shared" si="5"/>
        <v>957.03524799999991</v>
      </c>
      <c r="G72" s="194">
        <f t="shared" si="12"/>
        <v>239.25881199999998</v>
      </c>
      <c r="H72" s="194"/>
      <c r="I72" s="194"/>
      <c r="J72" s="194"/>
      <c r="K72" s="194">
        <v>300</v>
      </c>
      <c r="L72" s="194">
        <f t="shared" si="11"/>
        <v>1496.2940599999999</v>
      </c>
      <c r="M72" s="194"/>
      <c r="N72" s="194">
        <v>1681</v>
      </c>
    </row>
    <row r="73" spans="1:14" ht="30" x14ac:dyDescent="0.25">
      <c r="A73" s="192">
        <v>11</v>
      </c>
      <c r="B73" s="193" t="s">
        <v>665</v>
      </c>
      <c r="C73" s="194">
        <v>11</v>
      </c>
      <c r="D73" s="194">
        <v>9</v>
      </c>
      <c r="E73" s="194">
        <v>729.27442133333329</v>
      </c>
      <c r="F73" s="194">
        <f t="shared" si="5"/>
        <v>752.2164213333333</v>
      </c>
      <c r="G73" s="194">
        <f t="shared" si="12"/>
        <v>188.05410533333333</v>
      </c>
      <c r="H73" s="194"/>
      <c r="I73" s="194"/>
      <c r="J73" s="194"/>
      <c r="K73" s="194"/>
      <c r="L73" s="194">
        <f t="shared" si="11"/>
        <v>940.27052666666668</v>
      </c>
      <c r="M73" s="194"/>
      <c r="N73" s="194">
        <v>1301</v>
      </c>
    </row>
    <row r="74" spans="1:14" ht="27" customHeight="1" x14ac:dyDescent="0.25">
      <c r="A74" s="192">
        <v>12</v>
      </c>
      <c r="B74" s="193" t="s">
        <v>666</v>
      </c>
      <c r="C74" s="194">
        <v>6</v>
      </c>
      <c r="D74" s="194">
        <v>6</v>
      </c>
      <c r="E74" s="194">
        <v>498</v>
      </c>
      <c r="F74" s="194">
        <f t="shared" ref="F74:F147" si="13">E74+1.162+C74*1.98</f>
        <v>511.04199999999997</v>
      </c>
      <c r="G74" s="194">
        <f t="shared" si="12"/>
        <v>127.76049999999999</v>
      </c>
      <c r="H74" s="194"/>
      <c r="I74" s="194"/>
      <c r="J74" s="194"/>
      <c r="K74" s="194">
        <v>250</v>
      </c>
      <c r="L74" s="194">
        <f t="shared" si="11"/>
        <v>888.80250000000001</v>
      </c>
      <c r="M74" s="194"/>
      <c r="N74" s="194">
        <v>624</v>
      </c>
    </row>
    <row r="75" spans="1:14" ht="34.5" customHeight="1" x14ac:dyDescent="0.25">
      <c r="A75" s="192">
        <v>13</v>
      </c>
      <c r="B75" s="193" t="s">
        <v>667</v>
      </c>
      <c r="C75" s="194">
        <v>5</v>
      </c>
      <c r="D75" s="194">
        <v>4</v>
      </c>
      <c r="E75" s="194">
        <v>444</v>
      </c>
      <c r="F75" s="194">
        <f t="shared" si="13"/>
        <v>455.06199999999995</v>
      </c>
      <c r="G75" s="194">
        <f t="shared" si="12"/>
        <v>113.76549999999999</v>
      </c>
      <c r="H75" s="194"/>
      <c r="I75" s="194"/>
      <c r="J75" s="194"/>
      <c r="K75" s="194">
        <v>50</v>
      </c>
      <c r="L75" s="194">
        <f t="shared" si="11"/>
        <v>618.82749999999999</v>
      </c>
      <c r="M75" s="194"/>
      <c r="N75" s="194">
        <v>962</v>
      </c>
    </row>
    <row r="76" spans="1:14" ht="32.25" customHeight="1" x14ac:dyDescent="0.25">
      <c r="A76" s="192">
        <v>14</v>
      </c>
      <c r="B76" s="193" t="s">
        <v>668</v>
      </c>
      <c r="C76" s="194">
        <v>5</v>
      </c>
      <c r="D76" s="194">
        <v>3</v>
      </c>
      <c r="E76" s="194">
        <v>296.81300000000005</v>
      </c>
      <c r="F76" s="194">
        <f t="shared" si="13"/>
        <v>307.875</v>
      </c>
      <c r="G76" s="194">
        <f t="shared" si="12"/>
        <v>76.96875</v>
      </c>
      <c r="H76" s="194"/>
      <c r="I76" s="194"/>
      <c r="J76" s="194"/>
      <c r="K76" s="194"/>
      <c r="L76" s="194">
        <f t="shared" si="11"/>
        <v>384.84375</v>
      </c>
      <c r="M76" s="194"/>
      <c r="N76" s="194">
        <v>489</v>
      </c>
    </row>
    <row r="77" spans="1:14" ht="30" x14ac:dyDescent="0.25">
      <c r="A77" s="192">
        <v>15</v>
      </c>
      <c r="B77" s="193" t="s">
        <v>497</v>
      </c>
      <c r="C77" s="194">
        <v>4</v>
      </c>
      <c r="D77" s="194">
        <v>4</v>
      </c>
      <c r="E77" s="194">
        <v>280.39572000000004</v>
      </c>
      <c r="F77" s="194">
        <f t="shared" si="13"/>
        <v>289.47772000000003</v>
      </c>
      <c r="G77" s="194">
        <f t="shared" si="12"/>
        <v>72.369430000000008</v>
      </c>
      <c r="H77" s="194"/>
      <c r="I77" s="194"/>
      <c r="J77" s="194"/>
      <c r="K77" s="194">
        <v>100</v>
      </c>
      <c r="L77" s="194">
        <f t="shared" si="11"/>
        <v>461.84715000000006</v>
      </c>
      <c r="M77" s="194"/>
      <c r="N77" s="194">
        <v>424</v>
      </c>
    </row>
    <row r="78" spans="1:14" ht="33.75" customHeight="1" x14ac:dyDescent="0.25">
      <c r="A78" s="192">
        <v>16</v>
      </c>
      <c r="B78" s="193" t="s">
        <v>669</v>
      </c>
      <c r="C78" s="194">
        <v>11</v>
      </c>
      <c r="D78" s="194">
        <v>11</v>
      </c>
      <c r="E78" s="194">
        <v>602.28379200000006</v>
      </c>
      <c r="F78" s="194">
        <f t="shared" si="13"/>
        <v>625.22579200000007</v>
      </c>
      <c r="G78" s="194">
        <f t="shared" si="12"/>
        <v>156.30644800000002</v>
      </c>
      <c r="H78" s="194"/>
      <c r="I78" s="194"/>
      <c r="J78" s="194"/>
      <c r="K78" s="194"/>
      <c r="L78" s="194">
        <f t="shared" si="11"/>
        <v>781.53224000000012</v>
      </c>
      <c r="M78" s="194"/>
      <c r="N78" s="194">
        <v>1050</v>
      </c>
    </row>
    <row r="79" spans="1:14" ht="33.75" customHeight="1" x14ac:dyDescent="0.25">
      <c r="A79" s="192">
        <v>17</v>
      </c>
      <c r="B79" s="193" t="s">
        <v>670</v>
      </c>
      <c r="C79" s="194">
        <v>9</v>
      </c>
      <c r="D79" s="194">
        <v>8</v>
      </c>
      <c r="E79" s="194">
        <v>807</v>
      </c>
      <c r="F79" s="194">
        <f t="shared" si="13"/>
        <v>825.98200000000008</v>
      </c>
      <c r="G79" s="194">
        <f t="shared" si="12"/>
        <v>206.49550000000002</v>
      </c>
      <c r="H79" s="194"/>
      <c r="I79" s="194"/>
      <c r="J79" s="194"/>
      <c r="K79" s="194">
        <v>50</v>
      </c>
      <c r="L79" s="194">
        <f t="shared" si="11"/>
        <v>1082.4775000000002</v>
      </c>
      <c r="M79" s="194">
        <v>3150</v>
      </c>
      <c r="N79" s="194">
        <v>1189</v>
      </c>
    </row>
    <row r="80" spans="1:14" ht="25.5" customHeight="1" x14ac:dyDescent="0.25">
      <c r="A80" s="192">
        <v>18</v>
      </c>
      <c r="B80" s="193" t="s">
        <v>671</v>
      </c>
      <c r="C80" s="194">
        <v>12</v>
      </c>
      <c r="D80" s="194">
        <v>7</v>
      </c>
      <c r="E80" s="194">
        <v>883.72536685714283</v>
      </c>
      <c r="F80" s="194">
        <f t="shared" si="13"/>
        <v>908.64736685714286</v>
      </c>
      <c r="G80" s="194">
        <f t="shared" si="12"/>
        <v>227.16184171428571</v>
      </c>
      <c r="H80" s="194"/>
      <c r="I80" s="194"/>
      <c r="J80" s="194"/>
      <c r="K80" s="194">
        <v>640</v>
      </c>
      <c r="L80" s="194">
        <f t="shared" si="11"/>
        <v>1775.8092085714286</v>
      </c>
      <c r="M80" s="194"/>
      <c r="N80" s="194">
        <v>1783</v>
      </c>
    </row>
    <row r="81" spans="1:14" ht="33.75" customHeight="1" x14ac:dyDescent="0.25">
      <c r="A81" s="192">
        <v>19</v>
      </c>
      <c r="B81" s="193" t="s">
        <v>672</v>
      </c>
      <c r="C81" s="194">
        <v>2</v>
      </c>
      <c r="D81" s="194">
        <v>2</v>
      </c>
      <c r="E81" s="194">
        <v>121.44528000000001</v>
      </c>
      <c r="F81" s="194">
        <f t="shared" si="13"/>
        <v>126.56728000000001</v>
      </c>
      <c r="G81" s="194">
        <f t="shared" si="12"/>
        <v>31.641820000000003</v>
      </c>
      <c r="H81" s="194"/>
      <c r="I81" s="194"/>
      <c r="J81" s="194"/>
      <c r="K81" s="194">
        <v>80</v>
      </c>
      <c r="L81" s="194">
        <f t="shared" si="11"/>
        <v>238.20910000000001</v>
      </c>
      <c r="M81" s="194"/>
      <c r="N81" s="194">
        <v>379</v>
      </c>
    </row>
    <row r="82" spans="1:14" ht="24" customHeight="1" x14ac:dyDescent="0.25">
      <c r="A82" s="192">
        <v>20</v>
      </c>
      <c r="B82" s="193" t="s">
        <v>673</v>
      </c>
      <c r="C82" s="194">
        <v>13</v>
      </c>
      <c r="D82" s="194">
        <v>12</v>
      </c>
      <c r="E82" s="194">
        <v>877</v>
      </c>
      <c r="F82" s="194">
        <f t="shared" si="13"/>
        <v>903.90200000000004</v>
      </c>
      <c r="G82" s="194">
        <f t="shared" si="12"/>
        <v>225.97550000000001</v>
      </c>
      <c r="H82" s="194"/>
      <c r="I82" s="194"/>
      <c r="J82" s="194"/>
      <c r="K82" s="194">
        <v>24</v>
      </c>
      <c r="L82" s="194">
        <f t="shared" si="11"/>
        <v>1153.8775000000001</v>
      </c>
      <c r="M82" s="194"/>
      <c r="N82" s="194">
        <v>1348</v>
      </c>
    </row>
    <row r="83" spans="1:14" ht="24" customHeight="1" x14ac:dyDescent="0.25">
      <c r="A83" s="192">
        <v>21</v>
      </c>
      <c r="B83" s="193" t="s">
        <v>674</v>
      </c>
      <c r="C83" s="194">
        <v>2</v>
      </c>
      <c r="D83" s="194">
        <v>2</v>
      </c>
      <c r="E83" s="194">
        <v>118.409148</v>
      </c>
      <c r="F83" s="194">
        <f t="shared" si="13"/>
        <v>123.531148</v>
      </c>
      <c r="G83" s="194">
        <f t="shared" si="12"/>
        <v>30.882787</v>
      </c>
      <c r="H83" s="194"/>
      <c r="I83" s="194"/>
      <c r="J83" s="194"/>
      <c r="K83" s="194"/>
      <c r="L83" s="194">
        <f t="shared" si="11"/>
        <v>154.41393500000001</v>
      </c>
      <c r="M83" s="194"/>
      <c r="N83" s="194">
        <v>182</v>
      </c>
    </row>
    <row r="84" spans="1:14" ht="24" customHeight="1" x14ac:dyDescent="0.25">
      <c r="A84" s="192">
        <v>22</v>
      </c>
      <c r="B84" s="193" t="s">
        <v>675</v>
      </c>
      <c r="C84" s="194">
        <v>1</v>
      </c>
      <c r="D84" s="194">
        <v>1</v>
      </c>
      <c r="E84" s="194">
        <v>59.472468000000021</v>
      </c>
      <c r="F84" s="194">
        <f t="shared" si="13"/>
        <v>62.614468000000016</v>
      </c>
      <c r="G84" s="194">
        <f t="shared" si="12"/>
        <v>15.653617000000004</v>
      </c>
      <c r="H84" s="194"/>
      <c r="I84" s="194"/>
      <c r="J84" s="194"/>
      <c r="K84" s="194">
        <v>50</v>
      </c>
      <c r="L84" s="194">
        <f t="shared" si="11"/>
        <v>128.26808500000001</v>
      </c>
      <c r="M84" s="194"/>
      <c r="N84" s="194">
        <v>169</v>
      </c>
    </row>
    <row r="85" spans="1:14" ht="34.5" customHeight="1" x14ac:dyDescent="0.25">
      <c r="A85" s="192">
        <v>23</v>
      </c>
      <c r="B85" s="193" t="s">
        <v>676</v>
      </c>
      <c r="C85" s="194">
        <v>5</v>
      </c>
      <c r="D85" s="194">
        <v>5</v>
      </c>
      <c r="E85" s="194">
        <v>238</v>
      </c>
      <c r="F85" s="194">
        <f t="shared" si="13"/>
        <v>249.06200000000001</v>
      </c>
      <c r="G85" s="194">
        <f t="shared" si="12"/>
        <v>62.265500000000003</v>
      </c>
      <c r="H85" s="194"/>
      <c r="I85" s="194"/>
      <c r="J85" s="194"/>
      <c r="K85" s="194">
        <v>557</v>
      </c>
      <c r="L85" s="194">
        <f t="shared" si="11"/>
        <v>868.32749999999999</v>
      </c>
      <c r="M85" s="194"/>
      <c r="N85" s="194">
        <v>1209</v>
      </c>
    </row>
    <row r="86" spans="1:14" ht="36" customHeight="1" x14ac:dyDescent="0.25">
      <c r="A86" s="192">
        <v>24</v>
      </c>
      <c r="B86" s="193" t="s">
        <v>498</v>
      </c>
      <c r="C86" s="194">
        <v>10</v>
      </c>
      <c r="D86" s="194">
        <v>10</v>
      </c>
      <c r="E86" s="194">
        <v>747</v>
      </c>
      <c r="F86" s="194">
        <f t="shared" si="13"/>
        <v>767.96199999999999</v>
      </c>
      <c r="G86" s="194">
        <f t="shared" si="12"/>
        <v>191.9905</v>
      </c>
      <c r="H86" s="194"/>
      <c r="I86" s="194"/>
      <c r="J86" s="194"/>
      <c r="K86" s="194"/>
      <c r="L86" s="194">
        <f t="shared" si="11"/>
        <v>959.95249999999999</v>
      </c>
      <c r="M86" s="194"/>
      <c r="N86" s="194">
        <v>1065</v>
      </c>
    </row>
    <row r="87" spans="1:14" ht="24" customHeight="1" x14ac:dyDescent="0.25">
      <c r="A87" s="192">
        <v>25</v>
      </c>
      <c r="B87" s="193" t="s">
        <v>499</v>
      </c>
      <c r="C87" s="194">
        <v>13</v>
      </c>
      <c r="D87" s="194">
        <v>13</v>
      </c>
      <c r="E87" s="194">
        <v>970.30190400000004</v>
      </c>
      <c r="F87" s="194">
        <f t="shared" si="13"/>
        <v>997.20390400000008</v>
      </c>
      <c r="G87" s="194">
        <f t="shared" si="12"/>
        <v>249.30097600000002</v>
      </c>
      <c r="H87" s="194"/>
      <c r="I87" s="194"/>
      <c r="J87" s="194"/>
      <c r="K87" s="194">
        <v>290</v>
      </c>
      <c r="L87" s="194">
        <f t="shared" si="11"/>
        <v>1536.5048800000002</v>
      </c>
      <c r="M87" s="194"/>
      <c r="N87" s="194">
        <v>2035</v>
      </c>
    </row>
    <row r="88" spans="1:14" ht="24" customHeight="1" x14ac:dyDescent="0.25">
      <c r="A88" s="192">
        <v>26</v>
      </c>
      <c r="B88" s="193" t="s">
        <v>500</v>
      </c>
      <c r="C88" s="194">
        <v>2</v>
      </c>
      <c r="D88" s="194">
        <v>2</v>
      </c>
      <c r="E88" s="194">
        <v>125.31340799999998</v>
      </c>
      <c r="F88" s="194">
        <f t="shared" si="13"/>
        <v>130.435408</v>
      </c>
      <c r="G88" s="194">
        <f t="shared" si="12"/>
        <v>32.608851999999999</v>
      </c>
      <c r="H88" s="194"/>
      <c r="I88" s="194"/>
      <c r="J88" s="194"/>
      <c r="K88" s="194"/>
      <c r="L88" s="194">
        <f t="shared" si="11"/>
        <v>163.04426000000001</v>
      </c>
      <c r="M88" s="194"/>
      <c r="N88" s="194">
        <v>254</v>
      </c>
    </row>
    <row r="89" spans="1:14" ht="24" customHeight="1" x14ac:dyDescent="0.25">
      <c r="A89" s="192">
        <v>27</v>
      </c>
      <c r="B89" s="193" t="s">
        <v>501</v>
      </c>
      <c r="C89" s="197">
        <v>2</v>
      </c>
      <c r="D89" s="194">
        <v>2</v>
      </c>
      <c r="E89" s="194">
        <v>131.11269600000003</v>
      </c>
      <c r="F89" s="194">
        <f t="shared" si="13"/>
        <v>136.23469600000004</v>
      </c>
      <c r="G89" s="194">
        <f t="shared" si="12"/>
        <v>34.058674000000011</v>
      </c>
      <c r="H89" s="194"/>
      <c r="I89" s="194"/>
      <c r="J89" s="194"/>
      <c r="K89" s="194"/>
      <c r="L89" s="194">
        <f t="shared" si="11"/>
        <v>170.29337000000004</v>
      </c>
      <c r="M89" s="194"/>
      <c r="N89" s="194">
        <v>502</v>
      </c>
    </row>
    <row r="90" spans="1:14" ht="30" x14ac:dyDescent="0.25">
      <c r="A90" s="192">
        <v>28</v>
      </c>
      <c r="B90" s="193" t="s">
        <v>286</v>
      </c>
      <c r="C90" s="194">
        <v>9</v>
      </c>
      <c r="D90" s="194">
        <v>7</v>
      </c>
      <c r="E90" s="194">
        <v>397</v>
      </c>
      <c r="F90" s="194">
        <f t="shared" si="13"/>
        <v>415.98199999999997</v>
      </c>
      <c r="G90" s="194">
        <f t="shared" si="12"/>
        <v>103.99549999999999</v>
      </c>
      <c r="H90" s="194"/>
      <c r="I90" s="194"/>
      <c r="J90" s="194"/>
      <c r="K90" s="194"/>
      <c r="L90" s="194">
        <f t="shared" si="11"/>
        <v>519.97749999999996</v>
      </c>
      <c r="M90" s="194"/>
      <c r="N90" s="194">
        <v>580</v>
      </c>
    </row>
    <row r="91" spans="1:14" ht="24" customHeight="1" x14ac:dyDescent="0.25">
      <c r="A91" s="192">
        <v>29</v>
      </c>
      <c r="B91" s="193" t="s">
        <v>677</v>
      </c>
      <c r="C91" s="194"/>
      <c r="D91" s="194"/>
      <c r="E91" s="194"/>
      <c r="F91" s="194"/>
      <c r="G91" s="194">
        <f t="shared" si="12"/>
        <v>0</v>
      </c>
      <c r="H91" s="194"/>
      <c r="I91" s="194"/>
      <c r="J91" s="194"/>
      <c r="K91" s="194">
        <v>90</v>
      </c>
      <c r="L91" s="194">
        <f t="shared" si="11"/>
        <v>90</v>
      </c>
      <c r="M91" s="194"/>
      <c r="N91" s="194">
        <v>86</v>
      </c>
    </row>
    <row r="92" spans="1:14" ht="37.5" customHeight="1" x14ac:dyDescent="0.25">
      <c r="A92" s="192">
        <v>30</v>
      </c>
      <c r="B92" s="193" t="s">
        <v>678</v>
      </c>
      <c r="C92" s="194"/>
      <c r="D92" s="194"/>
      <c r="E92" s="194"/>
      <c r="F92" s="194"/>
      <c r="G92" s="194">
        <f t="shared" si="12"/>
        <v>0</v>
      </c>
      <c r="H92" s="194"/>
      <c r="I92" s="194"/>
      <c r="J92" s="194"/>
      <c r="K92" s="194">
        <v>160</v>
      </c>
      <c r="L92" s="194">
        <f t="shared" si="11"/>
        <v>160</v>
      </c>
      <c r="M92" s="194"/>
      <c r="N92" s="194">
        <v>160</v>
      </c>
    </row>
    <row r="93" spans="1:14" ht="24" customHeight="1" x14ac:dyDescent="0.25">
      <c r="A93" s="192">
        <v>31</v>
      </c>
      <c r="B93" s="193" t="s">
        <v>679</v>
      </c>
      <c r="C93" s="194"/>
      <c r="D93" s="194"/>
      <c r="E93" s="194"/>
      <c r="F93" s="194"/>
      <c r="G93" s="194">
        <f t="shared" si="12"/>
        <v>0</v>
      </c>
      <c r="H93" s="194"/>
      <c r="I93" s="194"/>
      <c r="J93" s="194"/>
      <c r="K93" s="194">
        <v>90</v>
      </c>
      <c r="L93" s="194">
        <f t="shared" si="11"/>
        <v>90</v>
      </c>
      <c r="M93" s="194"/>
      <c r="N93" s="194">
        <v>87</v>
      </c>
    </row>
    <row r="94" spans="1:14" ht="24" customHeight="1" x14ac:dyDescent="0.25">
      <c r="A94" s="192">
        <v>32</v>
      </c>
      <c r="B94" s="193" t="s">
        <v>680</v>
      </c>
      <c r="C94" s="194"/>
      <c r="D94" s="194"/>
      <c r="E94" s="194"/>
      <c r="F94" s="194"/>
      <c r="G94" s="194">
        <f t="shared" si="12"/>
        <v>0</v>
      </c>
      <c r="H94" s="194"/>
      <c r="I94" s="194"/>
      <c r="J94" s="194"/>
      <c r="K94" s="194">
        <v>50</v>
      </c>
      <c r="L94" s="194">
        <f t="shared" si="11"/>
        <v>50</v>
      </c>
      <c r="M94" s="194"/>
      <c r="N94" s="194">
        <v>107</v>
      </c>
    </row>
    <row r="95" spans="1:14" ht="24" customHeight="1" x14ac:dyDescent="0.25">
      <c r="A95" s="192">
        <v>33</v>
      </c>
      <c r="B95" s="193" t="s">
        <v>681</v>
      </c>
      <c r="C95" s="194"/>
      <c r="D95" s="194"/>
      <c r="E95" s="194"/>
      <c r="F95" s="194"/>
      <c r="G95" s="194">
        <f t="shared" si="12"/>
        <v>0</v>
      </c>
      <c r="H95" s="194"/>
      <c r="I95" s="194"/>
      <c r="J95" s="194"/>
      <c r="K95" s="194">
        <v>110</v>
      </c>
      <c r="L95" s="194">
        <f t="shared" si="11"/>
        <v>110</v>
      </c>
      <c r="M95" s="194"/>
      <c r="N95" s="194">
        <v>107</v>
      </c>
    </row>
    <row r="96" spans="1:14" ht="30" x14ac:dyDescent="0.25">
      <c r="A96" s="192">
        <v>34</v>
      </c>
      <c r="B96" s="193" t="s">
        <v>682</v>
      </c>
      <c r="C96" s="194"/>
      <c r="D96" s="194"/>
      <c r="E96" s="194"/>
      <c r="F96" s="194"/>
      <c r="G96" s="194">
        <f t="shared" si="12"/>
        <v>0</v>
      </c>
      <c r="H96" s="194"/>
      <c r="I96" s="194"/>
      <c r="J96" s="194"/>
      <c r="K96" s="194">
        <v>380</v>
      </c>
      <c r="L96" s="194">
        <f t="shared" si="11"/>
        <v>380</v>
      </c>
      <c r="M96" s="194"/>
      <c r="N96" s="194">
        <v>376</v>
      </c>
    </row>
    <row r="97" spans="1:14" ht="24" customHeight="1" x14ac:dyDescent="0.25">
      <c r="A97" s="192">
        <v>35</v>
      </c>
      <c r="B97" s="193" t="s">
        <v>683</v>
      </c>
      <c r="C97" s="194"/>
      <c r="D97" s="194"/>
      <c r="E97" s="194"/>
      <c r="F97" s="194"/>
      <c r="G97" s="194">
        <f t="shared" si="12"/>
        <v>0</v>
      </c>
      <c r="H97" s="194"/>
      <c r="I97" s="194"/>
      <c r="J97" s="194"/>
      <c r="K97" s="194">
        <v>140</v>
      </c>
      <c r="L97" s="194">
        <f t="shared" si="11"/>
        <v>140</v>
      </c>
      <c r="M97" s="194"/>
      <c r="N97" s="194">
        <v>138</v>
      </c>
    </row>
    <row r="98" spans="1:14" ht="24.75" customHeight="1" x14ac:dyDescent="0.25">
      <c r="A98" s="192">
        <v>36</v>
      </c>
      <c r="B98" s="193" t="s">
        <v>502</v>
      </c>
      <c r="C98" s="194"/>
      <c r="D98" s="194"/>
      <c r="E98" s="194"/>
      <c r="F98" s="194"/>
      <c r="G98" s="194"/>
      <c r="H98" s="194"/>
      <c r="I98" s="194"/>
      <c r="J98" s="194"/>
      <c r="K98" s="194">
        <v>200</v>
      </c>
      <c r="L98" s="194">
        <f t="shared" si="11"/>
        <v>200</v>
      </c>
      <c r="M98" s="194"/>
      <c r="N98" s="194">
        <v>399</v>
      </c>
    </row>
    <row r="99" spans="1:14" ht="32.25" customHeight="1" x14ac:dyDescent="0.25">
      <c r="A99" s="192">
        <v>37</v>
      </c>
      <c r="B99" s="193" t="s">
        <v>503</v>
      </c>
      <c r="C99" s="194"/>
      <c r="D99" s="194"/>
      <c r="E99" s="194"/>
      <c r="F99" s="194"/>
      <c r="G99" s="194"/>
      <c r="H99" s="194"/>
      <c r="I99" s="194"/>
      <c r="J99" s="194"/>
      <c r="K99" s="194">
        <v>490</v>
      </c>
      <c r="L99" s="194">
        <f t="shared" si="11"/>
        <v>490</v>
      </c>
      <c r="M99" s="194"/>
      <c r="N99" s="194">
        <v>490</v>
      </c>
    </row>
    <row r="100" spans="1:14" ht="24" customHeight="1" x14ac:dyDescent="0.25">
      <c r="A100" s="192">
        <v>38</v>
      </c>
      <c r="B100" s="193" t="s">
        <v>504</v>
      </c>
      <c r="C100" s="194"/>
      <c r="D100" s="194"/>
      <c r="E100" s="194"/>
      <c r="F100" s="194"/>
      <c r="G100" s="194">
        <f t="shared" si="12"/>
        <v>0</v>
      </c>
      <c r="H100" s="194"/>
      <c r="I100" s="194"/>
      <c r="J100" s="194"/>
      <c r="K100" s="194">
        <v>4500</v>
      </c>
      <c r="L100" s="194">
        <f t="shared" si="11"/>
        <v>4500</v>
      </c>
      <c r="M100" s="194"/>
      <c r="N100" s="194">
        <v>5000</v>
      </c>
    </row>
    <row r="101" spans="1:14" ht="24" customHeight="1" x14ac:dyDescent="0.25">
      <c r="A101" s="189" t="s">
        <v>160</v>
      </c>
      <c r="B101" s="191" t="s">
        <v>684</v>
      </c>
      <c r="C101" s="188">
        <f>SUM(C102:C109)</f>
        <v>106</v>
      </c>
      <c r="D101" s="188">
        <f t="shared" ref="D101:N101" si="14">SUM(D102:D109)</f>
        <v>95</v>
      </c>
      <c r="E101" s="188">
        <f t="shared" si="14"/>
        <v>10870.683992421053</v>
      </c>
      <c r="F101" s="188">
        <f t="shared" si="14"/>
        <v>11086.373992421051</v>
      </c>
      <c r="G101" s="188">
        <f t="shared" si="14"/>
        <v>3695.4579974736835</v>
      </c>
      <c r="H101" s="188">
        <f t="shared" si="14"/>
        <v>450</v>
      </c>
      <c r="I101" s="188">
        <f t="shared" si="14"/>
        <v>125</v>
      </c>
      <c r="J101" s="188">
        <f t="shared" si="14"/>
        <v>0</v>
      </c>
      <c r="K101" s="188">
        <f t="shared" si="14"/>
        <v>3997</v>
      </c>
      <c r="L101" s="188">
        <f t="shared" si="14"/>
        <v>19353.831989894734</v>
      </c>
      <c r="M101" s="188">
        <f t="shared" si="14"/>
        <v>0</v>
      </c>
      <c r="N101" s="188">
        <f t="shared" si="14"/>
        <v>20017</v>
      </c>
    </row>
    <row r="102" spans="1:14" ht="24" customHeight="1" x14ac:dyDescent="0.25">
      <c r="A102" s="192">
        <v>1</v>
      </c>
      <c r="B102" s="193" t="s">
        <v>685</v>
      </c>
      <c r="C102" s="194">
        <v>29</v>
      </c>
      <c r="D102" s="194">
        <v>23</v>
      </c>
      <c r="E102" s="194">
        <v>2550</v>
      </c>
      <c r="F102" s="194">
        <f t="shared" si="13"/>
        <v>2608.5819999999999</v>
      </c>
      <c r="G102" s="194">
        <f t="shared" ref="G102:G109" si="15">25/75*F102</f>
        <v>869.52733333333322</v>
      </c>
      <c r="H102" s="194">
        <v>90</v>
      </c>
      <c r="I102" s="194">
        <v>25</v>
      </c>
      <c r="J102" s="194"/>
      <c r="K102" s="194">
        <v>500</v>
      </c>
      <c r="L102" s="194">
        <f t="shared" ref="L102:L109" si="16">SUM(F102:K102)</f>
        <v>4093.1093333333329</v>
      </c>
      <c r="M102" s="194"/>
      <c r="N102" s="194">
        <v>4518</v>
      </c>
    </row>
    <row r="103" spans="1:14" ht="24" customHeight="1" x14ac:dyDescent="0.25">
      <c r="A103" s="192">
        <v>2</v>
      </c>
      <c r="B103" s="193" t="s">
        <v>686</v>
      </c>
      <c r="C103" s="194">
        <v>22</v>
      </c>
      <c r="D103" s="194">
        <v>22</v>
      </c>
      <c r="E103" s="194">
        <v>2237</v>
      </c>
      <c r="F103" s="194">
        <f t="shared" si="13"/>
        <v>2281.7219999999998</v>
      </c>
      <c r="G103" s="194">
        <f t="shared" si="15"/>
        <v>760.57399999999984</v>
      </c>
      <c r="H103" s="194">
        <v>90</v>
      </c>
      <c r="I103" s="194">
        <v>25</v>
      </c>
      <c r="J103" s="194"/>
      <c r="K103" s="194">
        <v>200</v>
      </c>
      <c r="L103" s="194">
        <f t="shared" si="16"/>
        <v>3357.2959999999994</v>
      </c>
      <c r="M103" s="194"/>
      <c r="N103" s="194">
        <v>3240</v>
      </c>
    </row>
    <row r="104" spans="1:14" ht="24" customHeight="1" x14ac:dyDescent="0.25">
      <c r="A104" s="192">
        <v>3</v>
      </c>
      <c r="B104" s="193" t="s">
        <v>687</v>
      </c>
      <c r="C104" s="194">
        <v>21</v>
      </c>
      <c r="D104" s="194">
        <v>19</v>
      </c>
      <c r="E104" s="194">
        <v>2339.1183524210528</v>
      </c>
      <c r="F104" s="194">
        <f t="shared" si="13"/>
        <v>2381.8603524210525</v>
      </c>
      <c r="G104" s="194">
        <f t="shared" si="15"/>
        <v>793.95345080701748</v>
      </c>
      <c r="H104" s="194">
        <v>90</v>
      </c>
      <c r="I104" s="194">
        <v>25</v>
      </c>
      <c r="J104" s="194"/>
      <c r="K104" s="194">
        <v>250</v>
      </c>
      <c r="L104" s="194">
        <f t="shared" si="16"/>
        <v>3540.8138032280699</v>
      </c>
      <c r="M104" s="194"/>
      <c r="N104" s="194">
        <v>3662</v>
      </c>
    </row>
    <row r="105" spans="1:14" ht="24" customHeight="1" x14ac:dyDescent="0.25">
      <c r="A105" s="192">
        <v>4</v>
      </c>
      <c r="B105" s="193" t="s">
        <v>688</v>
      </c>
      <c r="C105" s="194">
        <v>12</v>
      </c>
      <c r="D105" s="194">
        <v>12</v>
      </c>
      <c r="E105" s="194">
        <v>1135.56564</v>
      </c>
      <c r="F105" s="194">
        <f t="shared" si="13"/>
        <v>1160.4876400000001</v>
      </c>
      <c r="G105" s="194">
        <f t="shared" si="15"/>
        <v>386.82921333333331</v>
      </c>
      <c r="H105" s="194">
        <v>90</v>
      </c>
      <c r="I105" s="194">
        <v>25</v>
      </c>
      <c r="J105" s="194"/>
      <c r="K105" s="194">
        <v>300</v>
      </c>
      <c r="L105" s="194">
        <f t="shared" si="16"/>
        <v>1962.3168533333333</v>
      </c>
      <c r="M105" s="194"/>
      <c r="N105" s="194">
        <v>1916</v>
      </c>
    </row>
    <row r="106" spans="1:14" ht="24" customHeight="1" x14ac:dyDescent="0.25">
      <c r="A106" s="192">
        <v>5</v>
      </c>
      <c r="B106" s="193" t="s">
        <v>689</v>
      </c>
      <c r="C106" s="194">
        <v>22</v>
      </c>
      <c r="D106" s="194">
        <v>19</v>
      </c>
      <c r="E106" s="194">
        <v>2609</v>
      </c>
      <c r="F106" s="194">
        <f t="shared" si="13"/>
        <v>2653.7219999999998</v>
      </c>
      <c r="G106" s="194">
        <f t="shared" si="15"/>
        <v>884.57399999999984</v>
      </c>
      <c r="H106" s="194">
        <v>90</v>
      </c>
      <c r="I106" s="194">
        <v>25</v>
      </c>
      <c r="J106" s="194"/>
      <c r="K106" s="194">
        <v>847</v>
      </c>
      <c r="L106" s="194">
        <f t="shared" si="16"/>
        <v>4500.2959999999994</v>
      </c>
      <c r="M106" s="194"/>
      <c r="N106" s="194">
        <v>5481</v>
      </c>
    </row>
    <row r="107" spans="1:14" ht="24" customHeight="1" x14ac:dyDescent="0.25">
      <c r="A107" s="192">
        <v>6</v>
      </c>
      <c r="B107" s="193" t="s">
        <v>505</v>
      </c>
      <c r="C107" s="194"/>
      <c r="D107" s="194"/>
      <c r="E107" s="194"/>
      <c r="F107" s="194"/>
      <c r="G107" s="194">
        <f t="shared" si="15"/>
        <v>0</v>
      </c>
      <c r="H107" s="194"/>
      <c r="I107" s="194"/>
      <c r="J107" s="194"/>
      <c r="K107" s="194">
        <v>400</v>
      </c>
      <c r="L107" s="194">
        <f t="shared" si="16"/>
        <v>400</v>
      </c>
      <c r="M107" s="194"/>
      <c r="N107" s="194"/>
    </row>
    <row r="108" spans="1:14" ht="24" customHeight="1" x14ac:dyDescent="0.25">
      <c r="A108" s="192">
        <v>7</v>
      </c>
      <c r="B108" s="193" t="s">
        <v>506</v>
      </c>
      <c r="C108" s="194"/>
      <c r="D108" s="194"/>
      <c r="E108" s="194"/>
      <c r="F108" s="194"/>
      <c r="G108" s="194"/>
      <c r="H108" s="194"/>
      <c r="I108" s="194"/>
      <c r="J108" s="194"/>
      <c r="K108" s="194">
        <v>300</v>
      </c>
      <c r="L108" s="194">
        <f t="shared" si="16"/>
        <v>300</v>
      </c>
      <c r="M108" s="194"/>
      <c r="N108" s="194"/>
    </row>
    <row r="109" spans="1:14" ht="24" customHeight="1" x14ac:dyDescent="0.25">
      <c r="A109" s="192">
        <v>8</v>
      </c>
      <c r="B109" s="193" t="s">
        <v>494</v>
      </c>
      <c r="C109" s="194"/>
      <c r="D109" s="194"/>
      <c r="E109" s="194"/>
      <c r="F109" s="194"/>
      <c r="G109" s="194">
        <f t="shared" si="15"/>
        <v>0</v>
      </c>
      <c r="H109" s="194"/>
      <c r="I109" s="194"/>
      <c r="J109" s="194"/>
      <c r="K109" s="194">
        <v>1200</v>
      </c>
      <c r="L109" s="194">
        <f t="shared" si="16"/>
        <v>1200</v>
      </c>
      <c r="M109" s="194"/>
      <c r="N109" s="194">
        <v>1200</v>
      </c>
    </row>
    <row r="110" spans="1:14" ht="24" customHeight="1" x14ac:dyDescent="0.25">
      <c r="A110" s="189" t="s">
        <v>237</v>
      </c>
      <c r="B110" s="191" t="s">
        <v>690</v>
      </c>
      <c r="C110" s="188">
        <f>SUM(C111:C140)</f>
        <v>90</v>
      </c>
      <c r="D110" s="188">
        <f t="shared" ref="D110:N110" si="17">SUM(D111:D140)</f>
        <v>88</v>
      </c>
      <c r="E110" s="188">
        <f t="shared" si="17"/>
        <v>7804.8090521652166</v>
      </c>
      <c r="F110" s="188">
        <f t="shared" si="17"/>
        <v>8000.4390521652167</v>
      </c>
      <c r="G110" s="188">
        <f t="shared" si="17"/>
        <v>2000.1097630413042</v>
      </c>
      <c r="H110" s="188">
        <f t="shared" si="17"/>
        <v>0</v>
      </c>
      <c r="I110" s="188">
        <f t="shared" si="17"/>
        <v>0</v>
      </c>
      <c r="J110" s="188">
        <f t="shared" si="17"/>
        <v>0</v>
      </c>
      <c r="K110" s="188">
        <f t="shared" si="17"/>
        <v>4915</v>
      </c>
      <c r="L110" s="188">
        <f t="shared" si="17"/>
        <v>14915.548815206521</v>
      </c>
      <c r="M110" s="188">
        <f t="shared" si="17"/>
        <v>0</v>
      </c>
      <c r="N110" s="188">
        <f t="shared" si="17"/>
        <v>17027</v>
      </c>
    </row>
    <row r="111" spans="1:14" ht="24" customHeight="1" x14ac:dyDescent="0.25">
      <c r="A111" s="192">
        <v>1</v>
      </c>
      <c r="B111" s="193" t="s">
        <v>691</v>
      </c>
      <c r="C111" s="194">
        <v>21</v>
      </c>
      <c r="D111" s="194">
        <v>21</v>
      </c>
      <c r="E111" s="194">
        <v>1602.4608695652175</v>
      </c>
      <c r="F111" s="194">
        <f t="shared" si="13"/>
        <v>1645.2028695652175</v>
      </c>
      <c r="G111" s="194">
        <f>20/80*F111</f>
        <v>411.30071739130437</v>
      </c>
      <c r="H111" s="194"/>
      <c r="I111" s="194"/>
      <c r="J111" s="194"/>
      <c r="K111" s="194">
        <v>255</v>
      </c>
      <c r="L111" s="194">
        <f t="shared" ref="L111:L138" si="18">SUM(F111:K111)</f>
        <v>2311.5035869565218</v>
      </c>
      <c r="M111" s="194"/>
      <c r="N111" s="194">
        <v>2165</v>
      </c>
    </row>
    <row r="112" spans="1:14" ht="24" customHeight="1" x14ac:dyDescent="0.25">
      <c r="A112" s="192">
        <v>2</v>
      </c>
      <c r="B112" s="193" t="s">
        <v>692</v>
      </c>
      <c r="C112" s="194">
        <v>5</v>
      </c>
      <c r="D112" s="194">
        <v>5</v>
      </c>
      <c r="E112" s="194">
        <v>408.20221200000003</v>
      </c>
      <c r="F112" s="194">
        <f t="shared" si="13"/>
        <v>419.26421199999999</v>
      </c>
      <c r="G112" s="194">
        <f t="shared" ref="G112:G176" si="19">20/80*F112</f>
        <v>104.816053</v>
      </c>
      <c r="H112" s="194"/>
      <c r="I112" s="194"/>
      <c r="J112" s="194"/>
      <c r="K112" s="194">
        <v>200</v>
      </c>
      <c r="L112" s="194">
        <f t="shared" si="18"/>
        <v>724.08026499999994</v>
      </c>
      <c r="M112" s="194"/>
      <c r="N112" s="194">
        <v>1037</v>
      </c>
    </row>
    <row r="113" spans="1:14" ht="30" x14ac:dyDescent="0.25">
      <c r="A113" s="192">
        <v>3</v>
      </c>
      <c r="B113" s="193" t="s">
        <v>693</v>
      </c>
      <c r="C113" s="194">
        <v>9</v>
      </c>
      <c r="D113" s="194">
        <v>8</v>
      </c>
      <c r="E113" s="194">
        <v>865.37276100000008</v>
      </c>
      <c r="F113" s="194">
        <f t="shared" si="13"/>
        <v>884.35476100000017</v>
      </c>
      <c r="G113" s="194">
        <f t="shared" si="19"/>
        <v>221.08869025000004</v>
      </c>
      <c r="H113" s="194"/>
      <c r="I113" s="194"/>
      <c r="J113" s="194"/>
      <c r="K113" s="194">
        <v>400</v>
      </c>
      <c r="L113" s="194">
        <f t="shared" si="18"/>
        <v>1505.4434512500002</v>
      </c>
      <c r="M113" s="194"/>
      <c r="N113" s="194">
        <v>2440</v>
      </c>
    </row>
    <row r="114" spans="1:14" ht="24" customHeight="1" x14ac:dyDescent="0.25">
      <c r="A114" s="192">
        <v>4</v>
      </c>
      <c r="B114" s="193" t="s">
        <v>694</v>
      </c>
      <c r="C114" s="194">
        <v>12</v>
      </c>
      <c r="D114" s="194">
        <v>12</v>
      </c>
      <c r="E114" s="194">
        <v>865</v>
      </c>
      <c r="F114" s="194">
        <f t="shared" si="13"/>
        <v>889.92200000000003</v>
      </c>
      <c r="G114" s="194">
        <f t="shared" si="19"/>
        <v>222.48050000000001</v>
      </c>
      <c r="H114" s="194"/>
      <c r="I114" s="194"/>
      <c r="J114" s="194"/>
      <c r="K114" s="194">
        <v>370</v>
      </c>
      <c r="L114" s="194">
        <f t="shared" si="18"/>
        <v>1482.4025000000001</v>
      </c>
      <c r="M114" s="194"/>
      <c r="N114" s="194">
        <v>1761</v>
      </c>
    </row>
    <row r="115" spans="1:14" ht="24" customHeight="1" x14ac:dyDescent="0.25">
      <c r="A115" s="192">
        <v>5</v>
      </c>
      <c r="B115" s="193" t="s">
        <v>695</v>
      </c>
      <c r="C115" s="194">
        <v>12</v>
      </c>
      <c r="D115" s="194">
        <v>12</v>
      </c>
      <c r="E115" s="194">
        <v>1113.2</v>
      </c>
      <c r="F115" s="194">
        <f t="shared" si="13"/>
        <v>1138.1220000000001</v>
      </c>
      <c r="G115" s="194">
        <f t="shared" si="19"/>
        <v>284.53050000000002</v>
      </c>
      <c r="H115" s="194"/>
      <c r="I115" s="194"/>
      <c r="J115" s="194"/>
      <c r="K115" s="194">
        <v>230</v>
      </c>
      <c r="L115" s="194">
        <f t="shared" si="18"/>
        <v>1652.6525000000001</v>
      </c>
      <c r="M115" s="194"/>
      <c r="N115" s="194">
        <v>1614</v>
      </c>
    </row>
    <row r="116" spans="1:14" ht="24" customHeight="1" x14ac:dyDescent="0.25">
      <c r="A116" s="192">
        <v>6</v>
      </c>
      <c r="B116" s="193" t="s">
        <v>696</v>
      </c>
      <c r="C116" s="194">
        <v>10</v>
      </c>
      <c r="D116" s="194">
        <v>10</v>
      </c>
      <c r="E116" s="194">
        <v>996</v>
      </c>
      <c r="F116" s="194">
        <f t="shared" si="13"/>
        <v>1016.962</v>
      </c>
      <c r="G116" s="194">
        <f t="shared" si="19"/>
        <v>254.2405</v>
      </c>
      <c r="H116" s="194"/>
      <c r="I116" s="194"/>
      <c r="J116" s="194"/>
      <c r="K116" s="194"/>
      <c r="L116" s="194">
        <f t="shared" si="18"/>
        <v>1271.2024999999999</v>
      </c>
      <c r="M116" s="194"/>
      <c r="N116" s="194">
        <v>1345</v>
      </c>
    </row>
    <row r="117" spans="1:14" ht="24" customHeight="1" x14ac:dyDescent="0.25">
      <c r="A117" s="192">
        <v>7</v>
      </c>
      <c r="B117" s="193" t="s">
        <v>697</v>
      </c>
      <c r="C117" s="194">
        <v>5</v>
      </c>
      <c r="D117" s="194">
        <v>5</v>
      </c>
      <c r="E117" s="194">
        <v>378.48122399999988</v>
      </c>
      <c r="F117" s="194">
        <f t="shared" si="13"/>
        <v>389.54322399999984</v>
      </c>
      <c r="G117" s="194">
        <f t="shared" si="19"/>
        <v>97.38580599999996</v>
      </c>
      <c r="H117" s="194"/>
      <c r="I117" s="194"/>
      <c r="J117" s="194"/>
      <c r="K117" s="194"/>
      <c r="L117" s="194">
        <f t="shared" si="18"/>
        <v>486.92902999999978</v>
      </c>
      <c r="M117" s="194"/>
      <c r="N117" s="194">
        <v>576</v>
      </c>
    </row>
    <row r="118" spans="1:14" ht="24" customHeight="1" x14ac:dyDescent="0.25">
      <c r="A118" s="192">
        <v>8</v>
      </c>
      <c r="B118" s="193" t="s">
        <v>698</v>
      </c>
      <c r="C118" s="194">
        <v>2</v>
      </c>
      <c r="D118" s="194">
        <v>2</v>
      </c>
      <c r="E118" s="194">
        <v>227.39481599999996</v>
      </c>
      <c r="F118" s="194">
        <f t="shared" si="13"/>
        <v>232.51681599999998</v>
      </c>
      <c r="G118" s="194">
        <f t="shared" si="19"/>
        <v>58.129203999999994</v>
      </c>
      <c r="H118" s="194"/>
      <c r="I118" s="194"/>
      <c r="J118" s="194"/>
      <c r="K118" s="194">
        <v>250</v>
      </c>
      <c r="L118" s="194">
        <f t="shared" si="18"/>
        <v>540.64601999999991</v>
      </c>
      <c r="M118" s="194"/>
      <c r="N118" s="194">
        <v>486</v>
      </c>
    </row>
    <row r="119" spans="1:14" ht="24" customHeight="1" x14ac:dyDescent="0.25">
      <c r="A119" s="192">
        <v>9</v>
      </c>
      <c r="B119" s="193" t="s">
        <v>699</v>
      </c>
      <c r="C119" s="194">
        <v>2</v>
      </c>
      <c r="D119" s="194">
        <v>2</v>
      </c>
      <c r="E119" s="194">
        <v>236.21426399999999</v>
      </c>
      <c r="F119" s="194">
        <f t="shared" si="13"/>
        <v>241.336264</v>
      </c>
      <c r="G119" s="194">
        <f t="shared" si="19"/>
        <v>60.334066</v>
      </c>
      <c r="H119" s="194"/>
      <c r="I119" s="194"/>
      <c r="J119" s="194"/>
      <c r="K119" s="194">
        <v>200</v>
      </c>
      <c r="L119" s="194">
        <f t="shared" si="18"/>
        <v>501.67032999999998</v>
      </c>
      <c r="M119" s="194"/>
      <c r="N119" s="194">
        <v>365</v>
      </c>
    </row>
    <row r="120" spans="1:14" ht="24" customHeight="1" x14ac:dyDescent="0.25">
      <c r="A120" s="192">
        <v>10</v>
      </c>
      <c r="B120" s="193" t="s">
        <v>507</v>
      </c>
      <c r="C120" s="194">
        <v>2</v>
      </c>
      <c r="D120" s="194">
        <v>2</v>
      </c>
      <c r="E120" s="194">
        <v>184.39238399999996</v>
      </c>
      <c r="F120" s="194">
        <f t="shared" si="13"/>
        <v>189.51438399999998</v>
      </c>
      <c r="G120" s="194">
        <f t="shared" si="19"/>
        <v>47.378595999999995</v>
      </c>
      <c r="H120" s="194"/>
      <c r="I120" s="194"/>
      <c r="J120" s="194"/>
      <c r="K120" s="194"/>
      <c r="L120" s="194">
        <f t="shared" si="18"/>
        <v>236.89297999999997</v>
      </c>
      <c r="M120" s="194"/>
      <c r="N120" s="194">
        <v>312</v>
      </c>
    </row>
    <row r="121" spans="1:14" ht="24" customHeight="1" x14ac:dyDescent="0.25">
      <c r="A121" s="192">
        <v>11</v>
      </c>
      <c r="B121" s="193" t="s">
        <v>700</v>
      </c>
      <c r="C121" s="194">
        <v>2</v>
      </c>
      <c r="D121" s="194">
        <v>2</v>
      </c>
      <c r="E121" s="194">
        <v>137.44748160000003</v>
      </c>
      <c r="F121" s="194">
        <f t="shared" si="13"/>
        <v>142.56948160000005</v>
      </c>
      <c r="G121" s="194">
        <f t="shared" si="19"/>
        <v>35.642370400000011</v>
      </c>
      <c r="H121" s="194"/>
      <c r="I121" s="194"/>
      <c r="J121" s="194"/>
      <c r="K121" s="194"/>
      <c r="L121" s="194">
        <f t="shared" si="18"/>
        <v>178.21185200000005</v>
      </c>
      <c r="M121" s="194"/>
      <c r="N121" s="194">
        <v>269</v>
      </c>
    </row>
    <row r="122" spans="1:14" ht="24" customHeight="1" x14ac:dyDescent="0.25">
      <c r="A122" s="192">
        <v>12</v>
      </c>
      <c r="B122" s="193" t="s">
        <v>701</v>
      </c>
      <c r="C122" s="194">
        <v>2</v>
      </c>
      <c r="D122" s="194">
        <v>2</v>
      </c>
      <c r="E122" s="194">
        <v>221.34433200000001</v>
      </c>
      <c r="F122" s="194">
        <f t="shared" si="13"/>
        <v>226.46633200000002</v>
      </c>
      <c r="G122" s="194">
        <f t="shared" si="19"/>
        <v>56.616583000000006</v>
      </c>
      <c r="H122" s="194"/>
      <c r="I122" s="194"/>
      <c r="J122" s="194"/>
      <c r="K122" s="194"/>
      <c r="L122" s="194">
        <f t="shared" si="18"/>
        <v>283.08291500000001</v>
      </c>
      <c r="M122" s="194"/>
      <c r="N122" s="194">
        <v>337</v>
      </c>
    </row>
    <row r="123" spans="1:14" ht="24" customHeight="1" x14ac:dyDescent="0.25">
      <c r="A123" s="192">
        <v>13</v>
      </c>
      <c r="B123" s="193" t="s">
        <v>702</v>
      </c>
      <c r="C123" s="194">
        <v>2</v>
      </c>
      <c r="D123" s="194">
        <v>2</v>
      </c>
      <c r="E123" s="194">
        <v>228.55060800000001</v>
      </c>
      <c r="F123" s="194">
        <f t="shared" si="13"/>
        <v>233.67260800000003</v>
      </c>
      <c r="G123" s="194">
        <f t="shared" si="19"/>
        <v>58.418152000000006</v>
      </c>
      <c r="H123" s="194"/>
      <c r="I123" s="194"/>
      <c r="J123" s="194"/>
      <c r="K123" s="194">
        <v>150</v>
      </c>
      <c r="L123" s="194">
        <f t="shared" si="18"/>
        <v>442.09076000000005</v>
      </c>
      <c r="M123" s="194"/>
      <c r="N123" s="194">
        <v>561</v>
      </c>
    </row>
    <row r="124" spans="1:14" ht="33" customHeight="1" x14ac:dyDescent="0.25">
      <c r="A124" s="192">
        <v>14</v>
      </c>
      <c r="B124" s="193" t="s">
        <v>703</v>
      </c>
      <c r="C124" s="194">
        <v>2</v>
      </c>
      <c r="D124" s="194">
        <v>2</v>
      </c>
      <c r="E124" s="194">
        <v>222.87474</v>
      </c>
      <c r="F124" s="194">
        <f t="shared" si="13"/>
        <v>227.99674000000002</v>
      </c>
      <c r="G124" s="194">
        <f t="shared" si="19"/>
        <v>56.999185000000004</v>
      </c>
      <c r="H124" s="194"/>
      <c r="I124" s="194"/>
      <c r="J124" s="194"/>
      <c r="K124" s="194">
        <v>150</v>
      </c>
      <c r="L124" s="194">
        <f t="shared" si="18"/>
        <v>434.995925</v>
      </c>
      <c r="M124" s="194"/>
      <c r="N124" s="194">
        <v>575</v>
      </c>
    </row>
    <row r="125" spans="1:14" ht="24" customHeight="1" x14ac:dyDescent="0.25">
      <c r="A125" s="192">
        <v>15</v>
      </c>
      <c r="B125" s="193" t="s">
        <v>704</v>
      </c>
      <c r="C125" s="194">
        <v>2</v>
      </c>
      <c r="D125" s="194">
        <v>1</v>
      </c>
      <c r="E125" s="194">
        <v>117.87336000000001</v>
      </c>
      <c r="F125" s="194">
        <f t="shared" si="13"/>
        <v>122.99536000000001</v>
      </c>
      <c r="G125" s="194">
        <f t="shared" si="19"/>
        <v>30.748840000000001</v>
      </c>
      <c r="H125" s="194"/>
      <c r="I125" s="194"/>
      <c r="J125" s="194"/>
      <c r="K125" s="194"/>
      <c r="L125" s="194">
        <f t="shared" si="18"/>
        <v>153.74420000000001</v>
      </c>
      <c r="M125" s="194"/>
      <c r="N125" s="194">
        <v>309</v>
      </c>
    </row>
    <row r="126" spans="1:14" ht="24" customHeight="1" x14ac:dyDescent="0.25">
      <c r="A126" s="192">
        <v>16</v>
      </c>
      <c r="B126" s="193" t="s">
        <v>508</v>
      </c>
      <c r="C126" s="194"/>
      <c r="D126" s="194"/>
      <c r="E126" s="194">
        <v>0</v>
      </c>
      <c r="F126" s="194"/>
      <c r="G126" s="194">
        <f t="shared" si="19"/>
        <v>0</v>
      </c>
      <c r="H126" s="194"/>
      <c r="I126" s="194"/>
      <c r="J126" s="194"/>
      <c r="K126" s="194">
        <v>150</v>
      </c>
      <c r="L126" s="194">
        <f t="shared" si="18"/>
        <v>150</v>
      </c>
      <c r="M126" s="194"/>
      <c r="N126" s="194">
        <v>150</v>
      </c>
    </row>
    <row r="127" spans="1:14" ht="24" customHeight="1" x14ac:dyDescent="0.25">
      <c r="A127" s="192">
        <v>17</v>
      </c>
      <c r="B127" s="193" t="s">
        <v>705</v>
      </c>
      <c r="C127" s="194"/>
      <c r="D127" s="194"/>
      <c r="E127" s="194">
        <v>0</v>
      </c>
      <c r="F127" s="194"/>
      <c r="G127" s="194">
        <f t="shared" si="19"/>
        <v>0</v>
      </c>
      <c r="H127" s="194"/>
      <c r="I127" s="194"/>
      <c r="J127" s="194"/>
      <c r="K127" s="194">
        <v>150</v>
      </c>
      <c r="L127" s="194">
        <f t="shared" si="18"/>
        <v>150</v>
      </c>
      <c r="M127" s="194"/>
      <c r="N127" s="194">
        <v>197</v>
      </c>
    </row>
    <row r="128" spans="1:14" ht="24" customHeight="1" x14ac:dyDescent="0.25">
      <c r="A128" s="192">
        <v>18</v>
      </c>
      <c r="B128" s="193" t="s">
        <v>706</v>
      </c>
      <c r="C128" s="194"/>
      <c r="D128" s="194"/>
      <c r="E128" s="194">
        <v>0</v>
      </c>
      <c r="F128" s="194"/>
      <c r="G128" s="194">
        <f t="shared" si="19"/>
        <v>0</v>
      </c>
      <c r="H128" s="194"/>
      <c r="I128" s="194"/>
      <c r="J128" s="194"/>
      <c r="K128" s="194">
        <v>150</v>
      </c>
      <c r="L128" s="194">
        <f t="shared" si="18"/>
        <v>150</v>
      </c>
      <c r="M128" s="194"/>
      <c r="N128" s="194">
        <v>197</v>
      </c>
    </row>
    <row r="129" spans="1:14" ht="24" customHeight="1" x14ac:dyDescent="0.25">
      <c r="A129" s="192">
        <v>19</v>
      </c>
      <c r="B129" s="193" t="s">
        <v>707</v>
      </c>
      <c r="C129" s="194"/>
      <c r="D129" s="194"/>
      <c r="E129" s="194">
        <v>0</v>
      </c>
      <c r="F129" s="194"/>
      <c r="G129" s="194">
        <f t="shared" si="19"/>
        <v>0</v>
      </c>
      <c r="H129" s="194"/>
      <c r="I129" s="194"/>
      <c r="J129" s="194"/>
      <c r="K129" s="194">
        <v>100</v>
      </c>
      <c r="L129" s="194">
        <f t="shared" si="18"/>
        <v>100</v>
      </c>
      <c r="M129" s="194"/>
      <c r="N129" s="194">
        <v>135</v>
      </c>
    </row>
    <row r="130" spans="1:14" ht="24" customHeight="1" x14ac:dyDescent="0.25">
      <c r="A130" s="192">
        <v>20</v>
      </c>
      <c r="B130" s="193" t="s">
        <v>708</v>
      </c>
      <c r="C130" s="194"/>
      <c r="D130" s="194"/>
      <c r="E130" s="194">
        <v>0</v>
      </c>
      <c r="F130" s="194"/>
      <c r="G130" s="194">
        <f t="shared" si="19"/>
        <v>0</v>
      </c>
      <c r="H130" s="194"/>
      <c r="I130" s="194"/>
      <c r="J130" s="194"/>
      <c r="K130" s="194">
        <v>100</v>
      </c>
      <c r="L130" s="194">
        <f t="shared" si="18"/>
        <v>100</v>
      </c>
      <c r="M130" s="194"/>
      <c r="N130" s="194">
        <v>91</v>
      </c>
    </row>
    <row r="131" spans="1:14" ht="24" customHeight="1" x14ac:dyDescent="0.25">
      <c r="A131" s="192">
        <v>21</v>
      </c>
      <c r="B131" s="193" t="s">
        <v>709</v>
      </c>
      <c r="C131" s="194"/>
      <c r="D131" s="194"/>
      <c r="E131" s="194">
        <v>0</v>
      </c>
      <c r="F131" s="194"/>
      <c r="G131" s="194">
        <f t="shared" si="19"/>
        <v>0</v>
      </c>
      <c r="H131" s="194"/>
      <c r="I131" s="194"/>
      <c r="J131" s="194"/>
      <c r="K131" s="194">
        <v>100</v>
      </c>
      <c r="L131" s="194">
        <f t="shared" si="18"/>
        <v>100</v>
      </c>
      <c r="M131" s="194"/>
      <c r="N131" s="194">
        <v>105</v>
      </c>
    </row>
    <row r="132" spans="1:14" ht="24" customHeight="1" x14ac:dyDescent="0.25">
      <c r="A132" s="192">
        <v>22</v>
      </c>
      <c r="B132" s="193" t="s">
        <v>710</v>
      </c>
      <c r="C132" s="194"/>
      <c r="D132" s="194"/>
      <c r="E132" s="194">
        <v>0</v>
      </c>
      <c r="F132" s="194"/>
      <c r="G132" s="194">
        <f t="shared" si="19"/>
        <v>0</v>
      </c>
      <c r="H132" s="194"/>
      <c r="I132" s="194"/>
      <c r="J132" s="194"/>
      <c r="K132" s="194">
        <v>100</v>
      </c>
      <c r="L132" s="194">
        <f t="shared" si="18"/>
        <v>100</v>
      </c>
      <c r="M132" s="194"/>
      <c r="N132" s="194">
        <v>105</v>
      </c>
    </row>
    <row r="133" spans="1:14" ht="24" customHeight="1" x14ac:dyDescent="0.25">
      <c r="A133" s="192">
        <v>23</v>
      </c>
      <c r="B133" s="193" t="s">
        <v>711</v>
      </c>
      <c r="C133" s="194"/>
      <c r="D133" s="194"/>
      <c r="E133" s="194">
        <v>0</v>
      </c>
      <c r="F133" s="194"/>
      <c r="G133" s="194">
        <f t="shared" si="19"/>
        <v>0</v>
      </c>
      <c r="H133" s="194"/>
      <c r="I133" s="194"/>
      <c r="J133" s="194"/>
      <c r="K133" s="194">
        <v>170</v>
      </c>
      <c r="L133" s="194">
        <f t="shared" si="18"/>
        <v>170</v>
      </c>
      <c r="M133" s="194"/>
      <c r="N133" s="194">
        <v>167</v>
      </c>
    </row>
    <row r="134" spans="1:14" ht="33" customHeight="1" x14ac:dyDescent="0.25">
      <c r="A134" s="192">
        <v>24</v>
      </c>
      <c r="B134" s="193" t="s">
        <v>509</v>
      </c>
      <c r="C134" s="194"/>
      <c r="D134" s="194"/>
      <c r="E134" s="194"/>
      <c r="F134" s="194"/>
      <c r="G134" s="194">
        <f t="shared" si="19"/>
        <v>0</v>
      </c>
      <c r="H134" s="194"/>
      <c r="I134" s="194"/>
      <c r="J134" s="194"/>
      <c r="K134" s="194">
        <v>250</v>
      </c>
      <c r="L134" s="194">
        <f t="shared" si="18"/>
        <v>250</v>
      </c>
      <c r="M134" s="194"/>
      <c r="N134" s="194">
        <v>150</v>
      </c>
    </row>
    <row r="135" spans="1:14" ht="24" customHeight="1" x14ac:dyDescent="0.25">
      <c r="A135" s="192">
        <v>25</v>
      </c>
      <c r="B135" s="193" t="s">
        <v>510</v>
      </c>
      <c r="C135" s="194"/>
      <c r="D135" s="194"/>
      <c r="E135" s="194"/>
      <c r="F135" s="194"/>
      <c r="G135" s="194">
        <f t="shared" si="19"/>
        <v>0</v>
      </c>
      <c r="H135" s="194"/>
      <c r="I135" s="194"/>
      <c r="J135" s="194"/>
      <c r="K135" s="194">
        <v>150</v>
      </c>
      <c r="L135" s="194">
        <f t="shared" si="18"/>
        <v>150</v>
      </c>
      <c r="M135" s="194"/>
      <c r="N135" s="194">
        <v>263</v>
      </c>
    </row>
    <row r="136" spans="1:14" ht="24" customHeight="1" x14ac:dyDescent="0.25">
      <c r="A136" s="192">
        <v>26</v>
      </c>
      <c r="B136" s="193" t="s">
        <v>511</v>
      </c>
      <c r="C136" s="194"/>
      <c r="D136" s="194"/>
      <c r="E136" s="194"/>
      <c r="F136" s="194"/>
      <c r="G136" s="194">
        <f t="shared" si="19"/>
        <v>0</v>
      </c>
      <c r="H136" s="194"/>
      <c r="I136" s="194"/>
      <c r="J136" s="194"/>
      <c r="K136" s="194">
        <v>200</v>
      </c>
      <c r="L136" s="194">
        <f t="shared" si="18"/>
        <v>200</v>
      </c>
      <c r="M136" s="194"/>
      <c r="N136" s="194">
        <v>197</v>
      </c>
    </row>
    <row r="137" spans="1:14" ht="33" customHeight="1" x14ac:dyDescent="0.25">
      <c r="A137" s="192">
        <v>27</v>
      </c>
      <c r="B137" s="193" t="s">
        <v>512</v>
      </c>
      <c r="C137" s="194"/>
      <c r="D137" s="194"/>
      <c r="E137" s="194"/>
      <c r="F137" s="194"/>
      <c r="G137" s="194">
        <f t="shared" si="19"/>
        <v>0</v>
      </c>
      <c r="H137" s="194"/>
      <c r="I137" s="194"/>
      <c r="J137" s="194"/>
      <c r="K137" s="194">
        <v>120</v>
      </c>
      <c r="L137" s="194">
        <f t="shared" si="18"/>
        <v>120</v>
      </c>
      <c r="M137" s="194"/>
      <c r="N137" s="194">
        <v>118</v>
      </c>
    </row>
    <row r="138" spans="1:14" ht="24" customHeight="1" x14ac:dyDescent="0.25">
      <c r="A138" s="192">
        <v>28</v>
      </c>
      <c r="B138" s="193" t="s">
        <v>513</v>
      </c>
      <c r="C138" s="194"/>
      <c r="D138" s="194"/>
      <c r="E138" s="194"/>
      <c r="F138" s="194"/>
      <c r="G138" s="194">
        <f t="shared" si="19"/>
        <v>0</v>
      </c>
      <c r="H138" s="194"/>
      <c r="I138" s="194"/>
      <c r="J138" s="194"/>
      <c r="K138" s="194">
        <v>70</v>
      </c>
      <c r="L138" s="194">
        <f t="shared" si="18"/>
        <v>70</v>
      </c>
      <c r="M138" s="194"/>
      <c r="N138" s="194"/>
    </row>
    <row r="139" spans="1:14" ht="24" customHeight="1" x14ac:dyDescent="0.25">
      <c r="A139" s="192">
        <v>29</v>
      </c>
      <c r="B139" s="193" t="s">
        <v>554</v>
      </c>
      <c r="C139" s="194"/>
      <c r="D139" s="194"/>
      <c r="E139" s="194"/>
      <c r="F139" s="194"/>
      <c r="G139" s="194"/>
      <c r="H139" s="194"/>
      <c r="I139" s="194"/>
      <c r="J139" s="194"/>
      <c r="K139" s="194">
        <v>200</v>
      </c>
      <c r="L139" s="194">
        <v>200</v>
      </c>
      <c r="M139" s="194"/>
      <c r="N139" s="194"/>
    </row>
    <row r="140" spans="1:14" ht="24" customHeight="1" x14ac:dyDescent="0.25">
      <c r="A140" s="192">
        <v>30</v>
      </c>
      <c r="B140" s="193" t="s">
        <v>494</v>
      </c>
      <c r="C140" s="194"/>
      <c r="D140" s="194"/>
      <c r="E140" s="194"/>
      <c r="F140" s="194"/>
      <c r="G140" s="194">
        <f t="shared" si="19"/>
        <v>0</v>
      </c>
      <c r="H140" s="194"/>
      <c r="I140" s="194"/>
      <c r="J140" s="194"/>
      <c r="K140" s="194">
        <v>700</v>
      </c>
      <c r="L140" s="194">
        <f>SUM(F140:K140)</f>
        <v>700</v>
      </c>
      <c r="M140" s="194"/>
      <c r="N140" s="194">
        <v>1000</v>
      </c>
    </row>
    <row r="141" spans="1:14" ht="24" customHeight="1" x14ac:dyDescent="0.25">
      <c r="A141" s="189" t="s">
        <v>514</v>
      </c>
      <c r="B141" s="191" t="s">
        <v>712</v>
      </c>
      <c r="C141" s="188">
        <f>C142+C143+C144+C145+C146+C147+C148+C152+C153+C154+C155+C156+C160+C161+C162+C163+C151</f>
        <v>127</v>
      </c>
      <c r="D141" s="188">
        <f t="shared" ref="D141:N141" si="20">D142+D143+D144+D145+D146+D147+D148+D152+D153+D154+D155+D156+D160+D161+D162+D163+D151</f>
        <v>105</v>
      </c>
      <c r="E141" s="188">
        <f t="shared" si="20"/>
        <v>10139.8677443861</v>
      </c>
      <c r="F141" s="188">
        <f t="shared" si="20"/>
        <v>10398.2997443861</v>
      </c>
      <c r="G141" s="188">
        <f t="shared" si="20"/>
        <v>2599.5749360965251</v>
      </c>
      <c r="H141" s="188">
        <f t="shared" si="20"/>
        <v>0</v>
      </c>
      <c r="I141" s="188">
        <f t="shared" si="20"/>
        <v>0</v>
      </c>
      <c r="J141" s="188">
        <f t="shared" si="20"/>
        <v>0</v>
      </c>
      <c r="K141" s="188">
        <f t="shared" si="20"/>
        <v>13106</v>
      </c>
      <c r="L141" s="188">
        <f t="shared" si="20"/>
        <v>26103.874680482622</v>
      </c>
      <c r="M141" s="188">
        <f t="shared" si="20"/>
        <v>0</v>
      </c>
      <c r="N141" s="188">
        <f t="shared" si="20"/>
        <v>25366</v>
      </c>
    </row>
    <row r="142" spans="1:14" ht="34.5" customHeight="1" x14ac:dyDescent="0.25">
      <c r="A142" s="192">
        <v>1</v>
      </c>
      <c r="B142" s="193" t="s">
        <v>515</v>
      </c>
      <c r="C142" s="194">
        <v>39</v>
      </c>
      <c r="D142" s="194">
        <v>37</v>
      </c>
      <c r="E142" s="194">
        <v>3332.7567632432433</v>
      </c>
      <c r="F142" s="194">
        <f t="shared" si="13"/>
        <v>3411.1387632432429</v>
      </c>
      <c r="G142" s="194">
        <f t="shared" si="19"/>
        <v>852.78469081081073</v>
      </c>
      <c r="H142" s="194"/>
      <c r="I142" s="194"/>
      <c r="J142" s="194"/>
      <c r="K142" s="194">
        <f>1570+200</f>
        <v>1770</v>
      </c>
      <c r="L142" s="194">
        <f t="shared" ref="L142:L155" si="21">SUM(F142:K142)</f>
        <v>6033.9234540540538</v>
      </c>
      <c r="M142" s="194"/>
      <c r="N142" s="194">
        <v>5081</v>
      </c>
    </row>
    <row r="143" spans="1:14" ht="24" customHeight="1" x14ac:dyDescent="0.25">
      <c r="A143" s="192">
        <v>2</v>
      </c>
      <c r="B143" s="193" t="s">
        <v>713</v>
      </c>
      <c r="C143" s="194">
        <v>22</v>
      </c>
      <c r="D143" s="194">
        <v>21</v>
      </c>
      <c r="E143" s="194">
        <v>1608.8610811428575</v>
      </c>
      <c r="F143" s="194">
        <f t="shared" si="13"/>
        <v>1653.5830811428575</v>
      </c>
      <c r="G143" s="194">
        <f t="shared" si="19"/>
        <v>413.39577028571438</v>
      </c>
      <c r="H143" s="194"/>
      <c r="I143" s="194"/>
      <c r="J143" s="194"/>
      <c r="K143" s="194">
        <f>1509+200</f>
        <v>1709</v>
      </c>
      <c r="L143" s="194">
        <f t="shared" si="21"/>
        <v>3775.9788514285719</v>
      </c>
      <c r="M143" s="194"/>
      <c r="N143" s="194">
        <v>3228</v>
      </c>
    </row>
    <row r="144" spans="1:14" ht="24" customHeight="1" x14ac:dyDescent="0.25">
      <c r="A144" s="192">
        <v>3</v>
      </c>
      <c r="B144" s="193" t="s">
        <v>714</v>
      </c>
      <c r="C144" s="194">
        <v>27</v>
      </c>
      <c r="D144" s="194">
        <v>26</v>
      </c>
      <c r="E144" s="194">
        <v>2219</v>
      </c>
      <c r="F144" s="194">
        <f t="shared" si="13"/>
        <v>2273.6219999999998</v>
      </c>
      <c r="G144" s="194">
        <f t="shared" si="19"/>
        <v>568.40549999999996</v>
      </c>
      <c r="H144" s="194"/>
      <c r="I144" s="194"/>
      <c r="J144" s="194"/>
      <c r="K144" s="194">
        <v>1169</v>
      </c>
      <c r="L144" s="194">
        <f t="shared" si="21"/>
        <v>4011.0274999999997</v>
      </c>
      <c r="M144" s="194"/>
      <c r="N144" s="194">
        <v>2888</v>
      </c>
    </row>
    <row r="145" spans="1:14" ht="24" customHeight="1" x14ac:dyDescent="0.25">
      <c r="A145" s="192">
        <v>4</v>
      </c>
      <c r="B145" s="193" t="s">
        <v>715</v>
      </c>
      <c r="C145" s="194">
        <v>27</v>
      </c>
      <c r="D145" s="194">
        <v>9</v>
      </c>
      <c r="E145" s="194">
        <v>2176.4144160000001</v>
      </c>
      <c r="F145" s="194">
        <f t="shared" si="13"/>
        <v>2231.0364159999999</v>
      </c>
      <c r="G145" s="194">
        <f t="shared" si="19"/>
        <v>557.75910399999998</v>
      </c>
      <c r="H145" s="194"/>
      <c r="I145" s="194"/>
      <c r="J145" s="194"/>
      <c r="K145" s="194">
        <v>700</v>
      </c>
      <c r="L145" s="194">
        <f t="shared" si="21"/>
        <v>3488.7955199999997</v>
      </c>
      <c r="M145" s="194"/>
      <c r="N145" s="194">
        <v>1770</v>
      </c>
    </row>
    <row r="146" spans="1:14" ht="24" customHeight="1" x14ac:dyDescent="0.25">
      <c r="A146" s="192">
        <v>5</v>
      </c>
      <c r="B146" s="193" t="s">
        <v>516</v>
      </c>
      <c r="C146" s="194">
        <v>8</v>
      </c>
      <c r="D146" s="194">
        <v>8</v>
      </c>
      <c r="E146" s="194">
        <v>562.57740000000001</v>
      </c>
      <c r="F146" s="194">
        <f t="shared" si="13"/>
        <v>579.57940000000008</v>
      </c>
      <c r="G146" s="194">
        <f t="shared" si="19"/>
        <v>144.89485000000002</v>
      </c>
      <c r="H146" s="194"/>
      <c r="I146" s="194"/>
      <c r="J146" s="194"/>
      <c r="K146" s="194"/>
      <c r="L146" s="194">
        <f t="shared" si="21"/>
        <v>724.4742500000001</v>
      </c>
      <c r="M146" s="194"/>
      <c r="N146" s="194">
        <v>1270</v>
      </c>
    </row>
    <row r="147" spans="1:14" ht="24" customHeight="1" x14ac:dyDescent="0.25">
      <c r="A147" s="192">
        <v>6</v>
      </c>
      <c r="B147" s="193" t="s">
        <v>716</v>
      </c>
      <c r="C147" s="194">
        <v>4</v>
      </c>
      <c r="D147" s="194">
        <v>4</v>
      </c>
      <c r="E147" s="194">
        <v>240.25808400000003</v>
      </c>
      <c r="F147" s="194">
        <f t="shared" si="13"/>
        <v>249.34008400000002</v>
      </c>
      <c r="G147" s="194">
        <f t="shared" si="19"/>
        <v>62.335021000000005</v>
      </c>
      <c r="H147" s="194"/>
      <c r="I147" s="194"/>
      <c r="J147" s="194"/>
      <c r="K147" s="194"/>
      <c r="L147" s="194">
        <f t="shared" si="21"/>
        <v>311.67510500000003</v>
      </c>
      <c r="M147" s="194"/>
      <c r="N147" s="194">
        <v>406</v>
      </c>
    </row>
    <row r="148" spans="1:14" ht="24" customHeight="1" x14ac:dyDescent="0.25">
      <c r="A148" s="192">
        <v>7</v>
      </c>
      <c r="B148" s="193" t="s">
        <v>717</v>
      </c>
      <c r="C148" s="194"/>
      <c r="D148" s="194"/>
      <c r="E148" s="194"/>
      <c r="F148" s="194"/>
      <c r="G148" s="194">
        <f t="shared" si="19"/>
        <v>0</v>
      </c>
      <c r="H148" s="194"/>
      <c r="I148" s="194"/>
      <c r="J148" s="194"/>
      <c r="K148" s="194">
        <v>3298</v>
      </c>
      <c r="L148" s="194">
        <f t="shared" si="21"/>
        <v>3298</v>
      </c>
      <c r="M148" s="194"/>
      <c r="N148" s="194">
        <v>3898</v>
      </c>
    </row>
    <row r="149" spans="1:14" ht="32.25" customHeight="1" x14ac:dyDescent="0.25">
      <c r="A149" s="192"/>
      <c r="B149" s="193" t="s">
        <v>718</v>
      </c>
      <c r="C149" s="194"/>
      <c r="D149" s="194"/>
      <c r="E149" s="194"/>
      <c r="F149" s="194"/>
      <c r="G149" s="194">
        <f t="shared" si="19"/>
        <v>0</v>
      </c>
      <c r="H149" s="194"/>
      <c r="I149" s="194"/>
      <c r="J149" s="194"/>
      <c r="K149" s="194">
        <v>600</v>
      </c>
      <c r="L149" s="194">
        <f t="shared" si="21"/>
        <v>600</v>
      </c>
      <c r="M149" s="194"/>
      <c r="N149" s="194">
        <v>600</v>
      </c>
    </row>
    <row r="150" spans="1:14" ht="24" customHeight="1" x14ac:dyDescent="0.25">
      <c r="A150" s="192"/>
      <c r="B150" s="200" t="s">
        <v>517</v>
      </c>
      <c r="C150" s="194"/>
      <c r="D150" s="194"/>
      <c r="E150" s="194"/>
      <c r="F150" s="194"/>
      <c r="G150" s="194">
        <f t="shared" si="19"/>
        <v>0</v>
      </c>
      <c r="H150" s="194"/>
      <c r="I150" s="194"/>
      <c r="J150" s="194"/>
      <c r="K150" s="194">
        <v>600</v>
      </c>
      <c r="L150" s="194">
        <f t="shared" si="21"/>
        <v>600</v>
      </c>
      <c r="M150" s="194"/>
      <c r="N150" s="194">
        <v>1200</v>
      </c>
    </row>
    <row r="151" spans="1:14" ht="34.5" customHeight="1" x14ac:dyDescent="0.25">
      <c r="A151" s="192">
        <v>8</v>
      </c>
      <c r="B151" s="200" t="s">
        <v>518</v>
      </c>
      <c r="C151" s="194"/>
      <c r="D151" s="194"/>
      <c r="E151" s="194"/>
      <c r="F151" s="194"/>
      <c r="G151" s="194"/>
      <c r="H151" s="194"/>
      <c r="I151" s="194"/>
      <c r="J151" s="194"/>
      <c r="K151" s="194">
        <v>500</v>
      </c>
      <c r="L151" s="194">
        <f t="shared" si="21"/>
        <v>500</v>
      </c>
      <c r="M151" s="194"/>
      <c r="N151" s="194"/>
    </row>
    <row r="152" spans="1:14" ht="45" x14ac:dyDescent="0.25">
      <c r="A152" s="192">
        <v>9</v>
      </c>
      <c r="B152" s="193" t="s">
        <v>519</v>
      </c>
      <c r="C152" s="194"/>
      <c r="D152" s="194"/>
      <c r="E152" s="194"/>
      <c r="F152" s="194"/>
      <c r="G152" s="194">
        <f t="shared" si="19"/>
        <v>0</v>
      </c>
      <c r="H152" s="194"/>
      <c r="I152" s="194"/>
      <c r="J152" s="194"/>
      <c r="K152" s="194"/>
      <c r="L152" s="194">
        <f t="shared" si="21"/>
        <v>0</v>
      </c>
      <c r="M152" s="194"/>
      <c r="N152" s="194">
        <v>224</v>
      </c>
    </row>
    <row r="153" spans="1:14" ht="33" customHeight="1" x14ac:dyDescent="0.25">
      <c r="A153" s="192">
        <v>10</v>
      </c>
      <c r="B153" s="193" t="s">
        <v>520</v>
      </c>
      <c r="C153" s="194"/>
      <c r="D153" s="194"/>
      <c r="E153" s="194"/>
      <c r="F153" s="194"/>
      <c r="G153" s="194">
        <f t="shared" si="19"/>
        <v>0</v>
      </c>
      <c r="H153" s="194"/>
      <c r="I153" s="194"/>
      <c r="J153" s="194"/>
      <c r="K153" s="194"/>
      <c r="L153" s="194">
        <f t="shared" si="21"/>
        <v>0</v>
      </c>
      <c r="M153" s="194"/>
      <c r="N153" s="194">
        <v>2130</v>
      </c>
    </row>
    <row r="154" spans="1:14" ht="45" x14ac:dyDescent="0.25">
      <c r="A154" s="192">
        <v>11</v>
      </c>
      <c r="B154" s="193" t="s">
        <v>521</v>
      </c>
      <c r="C154" s="194"/>
      <c r="D154" s="194"/>
      <c r="E154" s="194"/>
      <c r="F154" s="194"/>
      <c r="G154" s="194">
        <f t="shared" si="19"/>
        <v>0</v>
      </c>
      <c r="H154" s="194"/>
      <c r="I154" s="194"/>
      <c r="J154" s="194"/>
      <c r="K154" s="194"/>
      <c r="L154" s="194">
        <f t="shared" si="21"/>
        <v>0</v>
      </c>
      <c r="M154" s="194"/>
      <c r="N154" s="194">
        <v>324</v>
      </c>
    </row>
    <row r="155" spans="1:14" ht="45" x14ac:dyDescent="0.25">
      <c r="A155" s="192">
        <v>12</v>
      </c>
      <c r="B155" s="193" t="s">
        <v>522</v>
      </c>
      <c r="C155" s="194"/>
      <c r="D155" s="194"/>
      <c r="E155" s="194"/>
      <c r="F155" s="194"/>
      <c r="G155" s="194">
        <f t="shared" si="19"/>
        <v>0</v>
      </c>
      <c r="H155" s="194"/>
      <c r="I155" s="194"/>
      <c r="J155" s="194"/>
      <c r="K155" s="194"/>
      <c r="L155" s="194">
        <f t="shared" si="21"/>
        <v>0</v>
      </c>
      <c r="M155" s="194"/>
      <c r="N155" s="194">
        <v>266</v>
      </c>
    </row>
    <row r="156" spans="1:14" s="204" customFormat="1" ht="24" customHeight="1" x14ac:dyDescent="0.25">
      <c r="A156" s="192">
        <v>13</v>
      </c>
      <c r="B156" s="191" t="s">
        <v>338</v>
      </c>
      <c r="C156" s="188">
        <f t="shared" ref="C156:N156" si="22">SUM(C157:C159)</f>
        <v>0</v>
      </c>
      <c r="D156" s="188">
        <f t="shared" si="22"/>
        <v>0</v>
      </c>
      <c r="E156" s="188">
        <f t="shared" si="22"/>
        <v>0</v>
      </c>
      <c r="F156" s="188">
        <f t="shared" si="22"/>
        <v>0</v>
      </c>
      <c r="G156" s="188">
        <f t="shared" si="22"/>
        <v>0</v>
      </c>
      <c r="H156" s="188">
        <f t="shared" si="22"/>
        <v>0</v>
      </c>
      <c r="I156" s="188">
        <f t="shared" si="22"/>
        <v>0</v>
      </c>
      <c r="J156" s="188">
        <f t="shared" si="22"/>
        <v>0</v>
      </c>
      <c r="K156" s="188">
        <f t="shared" si="22"/>
        <v>1050</v>
      </c>
      <c r="L156" s="188">
        <f t="shared" si="22"/>
        <v>1050</v>
      </c>
      <c r="M156" s="188">
        <f t="shared" si="22"/>
        <v>0</v>
      </c>
      <c r="N156" s="188">
        <f t="shared" si="22"/>
        <v>1033</v>
      </c>
    </row>
    <row r="157" spans="1:14" ht="24" customHeight="1" x14ac:dyDescent="0.25">
      <c r="A157" s="192"/>
      <c r="B157" s="193" t="s">
        <v>339</v>
      </c>
      <c r="C157" s="194"/>
      <c r="D157" s="194"/>
      <c r="E157" s="194"/>
      <c r="F157" s="194"/>
      <c r="G157" s="194">
        <f t="shared" si="19"/>
        <v>0</v>
      </c>
      <c r="H157" s="194"/>
      <c r="I157" s="194"/>
      <c r="J157" s="194"/>
      <c r="K157" s="194">
        <v>650</v>
      </c>
      <c r="L157" s="194">
        <f t="shared" ref="L157:L163" si="23">SUM(F157:K157)</f>
        <v>650</v>
      </c>
      <c r="M157" s="194"/>
      <c r="N157" s="194">
        <v>607</v>
      </c>
    </row>
    <row r="158" spans="1:14" ht="24" customHeight="1" x14ac:dyDescent="0.25">
      <c r="A158" s="192"/>
      <c r="B158" s="193" t="s">
        <v>523</v>
      </c>
      <c r="C158" s="194"/>
      <c r="D158" s="194"/>
      <c r="E158" s="194"/>
      <c r="F158" s="194"/>
      <c r="G158" s="194">
        <f t="shared" si="19"/>
        <v>0</v>
      </c>
      <c r="H158" s="194"/>
      <c r="I158" s="194"/>
      <c r="J158" s="194"/>
      <c r="K158" s="194">
        <v>300</v>
      </c>
      <c r="L158" s="194">
        <f t="shared" si="23"/>
        <v>300</v>
      </c>
      <c r="M158" s="194"/>
      <c r="N158" s="194">
        <v>266</v>
      </c>
    </row>
    <row r="159" spans="1:14" ht="30" x14ac:dyDescent="0.25">
      <c r="A159" s="192"/>
      <c r="B159" s="193" t="s">
        <v>524</v>
      </c>
      <c r="C159" s="194"/>
      <c r="D159" s="194"/>
      <c r="E159" s="194"/>
      <c r="F159" s="194"/>
      <c r="G159" s="194"/>
      <c r="H159" s="194"/>
      <c r="I159" s="194"/>
      <c r="J159" s="194"/>
      <c r="K159" s="194">
        <v>100</v>
      </c>
      <c r="L159" s="194">
        <f t="shared" si="23"/>
        <v>100</v>
      </c>
      <c r="M159" s="194"/>
      <c r="N159" s="194">
        <v>160</v>
      </c>
    </row>
    <row r="160" spans="1:14" ht="30" x14ac:dyDescent="0.25">
      <c r="A160" s="192">
        <v>14</v>
      </c>
      <c r="B160" s="193" t="s">
        <v>719</v>
      </c>
      <c r="C160" s="194"/>
      <c r="D160" s="194"/>
      <c r="E160" s="194"/>
      <c r="F160" s="194"/>
      <c r="G160" s="194">
        <f t="shared" si="19"/>
        <v>0</v>
      </c>
      <c r="H160" s="194"/>
      <c r="I160" s="194"/>
      <c r="J160" s="194"/>
      <c r="K160" s="194">
        <v>1000</v>
      </c>
      <c r="L160" s="194">
        <f t="shared" si="23"/>
        <v>1000</v>
      </c>
      <c r="M160" s="194"/>
      <c r="N160" s="194">
        <v>943</v>
      </c>
    </row>
    <row r="161" spans="1:14" ht="77.25" customHeight="1" x14ac:dyDescent="0.25">
      <c r="A161" s="192">
        <v>15</v>
      </c>
      <c r="B161" s="199" t="s">
        <v>720</v>
      </c>
      <c r="C161" s="194"/>
      <c r="D161" s="194"/>
      <c r="E161" s="194"/>
      <c r="F161" s="194"/>
      <c r="G161" s="194">
        <f t="shared" si="19"/>
        <v>0</v>
      </c>
      <c r="H161" s="194"/>
      <c r="I161" s="194"/>
      <c r="J161" s="194"/>
      <c r="K161" s="194">
        <v>1170</v>
      </c>
      <c r="L161" s="194">
        <f t="shared" si="23"/>
        <v>1170</v>
      </c>
      <c r="M161" s="194"/>
      <c r="N161" s="194">
        <v>1172</v>
      </c>
    </row>
    <row r="162" spans="1:14" ht="48" customHeight="1" x14ac:dyDescent="0.25">
      <c r="A162" s="192">
        <v>16</v>
      </c>
      <c r="B162" s="199" t="s">
        <v>347</v>
      </c>
      <c r="C162" s="194"/>
      <c r="D162" s="194"/>
      <c r="E162" s="194"/>
      <c r="F162" s="194"/>
      <c r="G162" s="194">
        <f t="shared" si="19"/>
        <v>0</v>
      </c>
      <c r="H162" s="194"/>
      <c r="I162" s="194"/>
      <c r="J162" s="194"/>
      <c r="K162" s="194">
        <v>540</v>
      </c>
      <c r="L162" s="194">
        <f t="shared" si="23"/>
        <v>540</v>
      </c>
      <c r="M162" s="194"/>
      <c r="N162" s="194">
        <v>533</v>
      </c>
    </row>
    <row r="163" spans="1:14" ht="24" customHeight="1" x14ac:dyDescent="0.25">
      <c r="A163" s="192">
        <v>17</v>
      </c>
      <c r="B163" s="199" t="s">
        <v>721</v>
      </c>
      <c r="C163" s="194"/>
      <c r="D163" s="194"/>
      <c r="E163" s="194"/>
      <c r="F163" s="194"/>
      <c r="G163" s="194">
        <f t="shared" si="19"/>
        <v>0</v>
      </c>
      <c r="H163" s="194"/>
      <c r="I163" s="194"/>
      <c r="J163" s="194"/>
      <c r="K163" s="194">
        <v>200</v>
      </c>
      <c r="L163" s="194">
        <f t="shared" si="23"/>
        <v>200</v>
      </c>
      <c r="M163" s="194"/>
      <c r="N163" s="194">
        <v>200</v>
      </c>
    </row>
    <row r="164" spans="1:14" s="204" customFormat="1" ht="24" customHeight="1" x14ac:dyDescent="0.25">
      <c r="A164" s="189" t="s">
        <v>525</v>
      </c>
      <c r="B164" s="191" t="s">
        <v>722</v>
      </c>
      <c r="C164" s="188">
        <f>SUM(C165:C181)</f>
        <v>0</v>
      </c>
      <c r="D164" s="188">
        <f t="shared" ref="D164:M164" si="24">SUM(D165:D181)</f>
        <v>0</v>
      </c>
      <c r="E164" s="188">
        <f t="shared" si="24"/>
        <v>0</v>
      </c>
      <c r="F164" s="188">
        <f t="shared" si="24"/>
        <v>0</v>
      </c>
      <c r="G164" s="188">
        <f t="shared" si="24"/>
        <v>0</v>
      </c>
      <c r="H164" s="188">
        <f t="shared" si="24"/>
        <v>0</v>
      </c>
      <c r="I164" s="188">
        <f t="shared" si="24"/>
        <v>0</v>
      </c>
      <c r="J164" s="188">
        <f t="shared" si="24"/>
        <v>0</v>
      </c>
      <c r="K164" s="188">
        <f>SUM(K165:K183)</f>
        <v>1710</v>
      </c>
      <c r="L164" s="188">
        <f>SUM(L165:L183)</f>
        <v>1710</v>
      </c>
      <c r="M164" s="188">
        <f t="shared" si="24"/>
        <v>0</v>
      </c>
      <c r="N164" s="188">
        <f>SUM(N165:N183)</f>
        <v>1710</v>
      </c>
    </row>
    <row r="165" spans="1:14" ht="24" customHeight="1" x14ac:dyDescent="0.25">
      <c r="A165" s="192">
        <v>1</v>
      </c>
      <c r="B165" s="193" t="s">
        <v>723</v>
      </c>
      <c r="C165" s="194"/>
      <c r="D165" s="194"/>
      <c r="E165" s="194"/>
      <c r="F165" s="194"/>
      <c r="G165" s="194">
        <f t="shared" si="19"/>
        <v>0</v>
      </c>
      <c r="H165" s="194"/>
      <c r="I165" s="194"/>
      <c r="J165" s="194"/>
      <c r="K165" s="194">
        <v>120</v>
      </c>
      <c r="L165" s="194">
        <f t="shared" ref="L165:L177" si="25">SUM(F165:K165)</f>
        <v>120</v>
      </c>
      <c r="M165" s="194"/>
      <c r="N165" s="194">
        <v>120</v>
      </c>
    </row>
    <row r="166" spans="1:14" ht="24" customHeight="1" x14ac:dyDescent="0.25">
      <c r="A166" s="192">
        <v>2</v>
      </c>
      <c r="B166" s="193" t="s">
        <v>724</v>
      </c>
      <c r="C166" s="194"/>
      <c r="D166" s="194"/>
      <c r="E166" s="194"/>
      <c r="F166" s="194"/>
      <c r="G166" s="194">
        <f t="shared" si="19"/>
        <v>0</v>
      </c>
      <c r="H166" s="194"/>
      <c r="I166" s="194"/>
      <c r="J166" s="194"/>
      <c r="K166" s="194">
        <v>60</v>
      </c>
      <c r="L166" s="194">
        <f t="shared" si="25"/>
        <v>60</v>
      </c>
      <c r="M166" s="194"/>
      <c r="N166" s="194">
        <v>60</v>
      </c>
    </row>
    <row r="167" spans="1:14" ht="24" customHeight="1" x14ac:dyDescent="0.25">
      <c r="A167" s="192">
        <v>3</v>
      </c>
      <c r="B167" s="193" t="s">
        <v>725</v>
      </c>
      <c r="C167" s="194"/>
      <c r="D167" s="194"/>
      <c r="E167" s="194"/>
      <c r="F167" s="194"/>
      <c r="G167" s="194">
        <f t="shared" si="19"/>
        <v>0</v>
      </c>
      <c r="H167" s="194"/>
      <c r="I167" s="194"/>
      <c r="J167" s="194"/>
      <c r="K167" s="194">
        <v>60</v>
      </c>
      <c r="L167" s="194">
        <f t="shared" si="25"/>
        <v>60</v>
      </c>
      <c r="M167" s="194"/>
      <c r="N167" s="194">
        <v>60</v>
      </c>
    </row>
    <row r="168" spans="1:14" ht="33.75" customHeight="1" x14ac:dyDescent="0.25">
      <c r="A168" s="192">
        <v>4</v>
      </c>
      <c r="B168" s="193" t="s">
        <v>726</v>
      </c>
      <c r="C168" s="194"/>
      <c r="D168" s="194"/>
      <c r="E168" s="194"/>
      <c r="F168" s="194"/>
      <c r="G168" s="194">
        <f t="shared" si="19"/>
        <v>0</v>
      </c>
      <c r="H168" s="194"/>
      <c r="I168" s="194"/>
      <c r="J168" s="194"/>
      <c r="K168" s="194">
        <v>60</v>
      </c>
      <c r="L168" s="194">
        <f t="shared" si="25"/>
        <v>60</v>
      </c>
      <c r="M168" s="194"/>
      <c r="N168" s="194">
        <v>60</v>
      </c>
    </row>
    <row r="169" spans="1:14" ht="21.75" customHeight="1" x14ac:dyDescent="0.25">
      <c r="A169" s="192">
        <v>5</v>
      </c>
      <c r="B169" s="193" t="s">
        <v>727</v>
      </c>
      <c r="C169" s="194"/>
      <c r="D169" s="194"/>
      <c r="E169" s="194"/>
      <c r="F169" s="194"/>
      <c r="G169" s="194">
        <f t="shared" si="19"/>
        <v>0</v>
      </c>
      <c r="H169" s="194"/>
      <c r="I169" s="194"/>
      <c r="J169" s="194"/>
      <c r="K169" s="194">
        <v>60</v>
      </c>
      <c r="L169" s="194">
        <f t="shared" si="25"/>
        <v>60</v>
      </c>
      <c r="M169" s="194"/>
      <c r="N169" s="194">
        <v>60</v>
      </c>
    </row>
    <row r="170" spans="1:14" ht="22.5" customHeight="1" x14ac:dyDescent="0.25">
      <c r="A170" s="192">
        <v>6</v>
      </c>
      <c r="B170" s="193" t="s">
        <v>728</v>
      </c>
      <c r="C170" s="194"/>
      <c r="D170" s="194"/>
      <c r="E170" s="194"/>
      <c r="F170" s="194"/>
      <c r="G170" s="194">
        <f t="shared" si="19"/>
        <v>0</v>
      </c>
      <c r="H170" s="194"/>
      <c r="I170" s="194"/>
      <c r="J170" s="194"/>
      <c r="K170" s="194">
        <v>80</v>
      </c>
      <c r="L170" s="194">
        <f t="shared" si="25"/>
        <v>80</v>
      </c>
      <c r="M170" s="194"/>
      <c r="N170" s="194">
        <v>80</v>
      </c>
    </row>
    <row r="171" spans="1:14" ht="24" customHeight="1" x14ac:dyDescent="0.25">
      <c r="A171" s="192">
        <v>7</v>
      </c>
      <c r="B171" s="193" t="s">
        <v>729</v>
      </c>
      <c r="C171" s="194"/>
      <c r="D171" s="194"/>
      <c r="E171" s="194"/>
      <c r="F171" s="194"/>
      <c r="G171" s="194">
        <f t="shared" si="19"/>
        <v>0</v>
      </c>
      <c r="H171" s="194"/>
      <c r="I171" s="194"/>
      <c r="J171" s="194"/>
      <c r="K171" s="194">
        <v>110</v>
      </c>
      <c r="L171" s="194">
        <f t="shared" si="25"/>
        <v>110</v>
      </c>
      <c r="M171" s="194"/>
      <c r="N171" s="194">
        <v>110</v>
      </c>
    </row>
    <row r="172" spans="1:14" ht="21.75" customHeight="1" x14ac:dyDescent="0.25">
      <c r="A172" s="192">
        <v>8</v>
      </c>
      <c r="B172" s="193" t="s">
        <v>730</v>
      </c>
      <c r="C172" s="194"/>
      <c r="D172" s="194"/>
      <c r="E172" s="194"/>
      <c r="F172" s="194"/>
      <c r="G172" s="194">
        <f t="shared" si="19"/>
        <v>0</v>
      </c>
      <c r="H172" s="194"/>
      <c r="I172" s="194"/>
      <c r="J172" s="194"/>
      <c r="K172" s="194">
        <v>110</v>
      </c>
      <c r="L172" s="194">
        <f t="shared" si="25"/>
        <v>110</v>
      </c>
      <c r="M172" s="194"/>
      <c r="N172" s="194">
        <v>110</v>
      </c>
    </row>
    <row r="173" spans="1:14" ht="33.75" customHeight="1" x14ac:dyDescent="0.25">
      <c r="A173" s="192">
        <v>9</v>
      </c>
      <c r="B173" s="193" t="s">
        <v>732</v>
      </c>
      <c r="C173" s="194"/>
      <c r="D173" s="194"/>
      <c r="E173" s="194"/>
      <c r="F173" s="194"/>
      <c r="G173" s="194">
        <f t="shared" si="19"/>
        <v>0</v>
      </c>
      <c r="H173" s="194"/>
      <c r="I173" s="194"/>
      <c r="J173" s="194"/>
      <c r="K173" s="194">
        <v>130</v>
      </c>
      <c r="L173" s="194">
        <f t="shared" si="25"/>
        <v>130</v>
      </c>
      <c r="M173" s="194"/>
      <c r="N173" s="194">
        <v>130</v>
      </c>
    </row>
    <row r="174" spans="1:14" ht="24" customHeight="1" x14ac:dyDescent="0.25">
      <c r="A174" s="192">
        <v>10</v>
      </c>
      <c r="B174" s="193" t="s">
        <v>733</v>
      </c>
      <c r="C174" s="194"/>
      <c r="D174" s="194"/>
      <c r="E174" s="194"/>
      <c r="F174" s="194"/>
      <c r="G174" s="194">
        <f t="shared" si="19"/>
        <v>0</v>
      </c>
      <c r="H174" s="194"/>
      <c r="I174" s="194"/>
      <c r="J174" s="194"/>
      <c r="K174" s="194">
        <v>160</v>
      </c>
      <c r="L174" s="194">
        <f t="shared" si="25"/>
        <v>160</v>
      </c>
      <c r="M174" s="194"/>
      <c r="N174" s="194">
        <v>160</v>
      </c>
    </row>
    <row r="175" spans="1:14" ht="33" customHeight="1" x14ac:dyDescent="0.25">
      <c r="A175" s="192">
        <v>11</v>
      </c>
      <c r="B175" s="193" t="s">
        <v>734</v>
      </c>
      <c r="C175" s="194"/>
      <c r="D175" s="194"/>
      <c r="E175" s="194"/>
      <c r="F175" s="194"/>
      <c r="G175" s="194">
        <f t="shared" si="19"/>
        <v>0</v>
      </c>
      <c r="H175" s="194"/>
      <c r="I175" s="194"/>
      <c r="J175" s="194"/>
      <c r="K175" s="194">
        <v>110</v>
      </c>
      <c r="L175" s="194">
        <f t="shared" si="25"/>
        <v>110</v>
      </c>
      <c r="M175" s="194"/>
      <c r="N175" s="194">
        <v>110</v>
      </c>
    </row>
    <row r="176" spans="1:14" ht="21" customHeight="1" x14ac:dyDescent="0.25">
      <c r="A176" s="192">
        <v>12</v>
      </c>
      <c r="B176" s="193" t="s">
        <v>735</v>
      </c>
      <c r="C176" s="194"/>
      <c r="D176" s="194"/>
      <c r="E176" s="194"/>
      <c r="F176" s="194"/>
      <c r="G176" s="194">
        <f t="shared" si="19"/>
        <v>0</v>
      </c>
      <c r="H176" s="194"/>
      <c r="I176" s="194"/>
      <c r="J176" s="194"/>
      <c r="K176" s="194">
        <v>60</v>
      </c>
      <c r="L176" s="194">
        <f t="shared" si="25"/>
        <v>60</v>
      </c>
      <c r="M176" s="194"/>
      <c r="N176" s="194">
        <v>60</v>
      </c>
    </row>
    <row r="177" spans="1:14" ht="30" x14ac:dyDescent="0.25">
      <c r="A177" s="192">
        <v>13</v>
      </c>
      <c r="B177" s="193" t="s">
        <v>736</v>
      </c>
      <c r="C177" s="194"/>
      <c r="D177" s="194"/>
      <c r="E177" s="194"/>
      <c r="F177" s="194"/>
      <c r="G177" s="194">
        <f t="shared" ref="G177:G181" si="26">20/80*F177</f>
        <v>0</v>
      </c>
      <c r="H177" s="194"/>
      <c r="I177" s="194"/>
      <c r="J177" s="194"/>
      <c r="K177" s="194">
        <v>60</v>
      </c>
      <c r="L177" s="194">
        <f t="shared" si="25"/>
        <v>60</v>
      </c>
      <c r="M177" s="194"/>
      <c r="N177" s="194">
        <v>60</v>
      </c>
    </row>
    <row r="178" spans="1:14" ht="24" customHeight="1" x14ac:dyDescent="0.25">
      <c r="A178" s="192">
        <v>14</v>
      </c>
      <c r="B178" s="193" t="s">
        <v>737</v>
      </c>
      <c r="C178" s="194"/>
      <c r="D178" s="194"/>
      <c r="E178" s="194"/>
      <c r="F178" s="194"/>
      <c r="G178" s="194">
        <f t="shared" si="26"/>
        <v>0</v>
      </c>
      <c r="H178" s="194"/>
      <c r="I178" s="194"/>
      <c r="J178" s="194"/>
      <c r="K178" s="194">
        <v>60</v>
      </c>
      <c r="L178" s="194">
        <f t="shared" ref="L178:L181" si="27">SUM(F178:K178)</f>
        <v>60</v>
      </c>
      <c r="M178" s="194"/>
      <c r="N178" s="194">
        <v>60</v>
      </c>
    </row>
    <row r="179" spans="1:14" ht="33.75" customHeight="1" x14ac:dyDescent="0.25">
      <c r="A179" s="192">
        <v>15</v>
      </c>
      <c r="B179" s="193" t="s">
        <v>738</v>
      </c>
      <c r="C179" s="194"/>
      <c r="D179" s="194"/>
      <c r="E179" s="194"/>
      <c r="F179" s="194"/>
      <c r="G179" s="194">
        <f t="shared" si="26"/>
        <v>0</v>
      </c>
      <c r="H179" s="194"/>
      <c r="I179" s="194"/>
      <c r="J179" s="194"/>
      <c r="K179" s="194">
        <v>110</v>
      </c>
      <c r="L179" s="194">
        <f t="shared" si="27"/>
        <v>110</v>
      </c>
      <c r="M179" s="194"/>
      <c r="N179" s="194">
        <v>110</v>
      </c>
    </row>
    <row r="180" spans="1:14" ht="24" customHeight="1" x14ac:dyDescent="0.25">
      <c r="A180" s="192">
        <v>16</v>
      </c>
      <c r="B180" s="193" t="s">
        <v>526</v>
      </c>
      <c r="C180" s="194"/>
      <c r="D180" s="194"/>
      <c r="E180" s="194"/>
      <c r="F180" s="194"/>
      <c r="G180" s="194">
        <f t="shared" si="26"/>
        <v>0</v>
      </c>
      <c r="H180" s="194"/>
      <c r="I180" s="194"/>
      <c r="J180" s="194"/>
      <c r="K180" s="194">
        <v>150</v>
      </c>
      <c r="L180" s="194">
        <f t="shared" si="27"/>
        <v>150</v>
      </c>
      <c r="M180" s="194"/>
      <c r="N180" s="194">
        <v>150</v>
      </c>
    </row>
    <row r="181" spans="1:14" ht="32.25" customHeight="1" x14ac:dyDescent="0.25">
      <c r="A181" s="192">
        <v>17</v>
      </c>
      <c r="B181" s="193" t="s">
        <v>340</v>
      </c>
      <c r="C181" s="194"/>
      <c r="D181" s="194"/>
      <c r="E181" s="194"/>
      <c r="F181" s="194"/>
      <c r="G181" s="194">
        <f t="shared" si="26"/>
        <v>0</v>
      </c>
      <c r="H181" s="194"/>
      <c r="I181" s="194"/>
      <c r="J181" s="194"/>
      <c r="K181" s="194">
        <v>60</v>
      </c>
      <c r="L181" s="194">
        <f t="shared" si="27"/>
        <v>60</v>
      </c>
      <c r="M181" s="194"/>
      <c r="N181" s="194">
        <v>60</v>
      </c>
    </row>
    <row r="182" spans="1:14" ht="32.25" customHeight="1" x14ac:dyDescent="0.25">
      <c r="A182" s="192">
        <v>18</v>
      </c>
      <c r="B182" s="193" t="s">
        <v>545</v>
      </c>
      <c r="C182" s="194"/>
      <c r="D182" s="194"/>
      <c r="E182" s="194"/>
      <c r="F182" s="194"/>
      <c r="G182" s="194"/>
      <c r="H182" s="194"/>
      <c r="I182" s="194"/>
      <c r="J182" s="194"/>
      <c r="K182" s="194">
        <v>100</v>
      </c>
      <c r="L182" s="194">
        <v>100</v>
      </c>
      <c r="M182" s="194"/>
      <c r="N182" s="194">
        <v>100</v>
      </c>
    </row>
    <row r="183" spans="1:14" ht="22.5" customHeight="1" x14ac:dyDescent="0.25">
      <c r="A183" s="192">
        <v>19</v>
      </c>
      <c r="B183" s="193" t="s">
        <v>546</v>
      </c>
      <c r="C183" s="194"/>
      <c r="D183" s="194"/>
      <c r="E183" s="194"/>
      <c r="F183" s="194"/>
      <c r="G183" s="194"/>
      <c r="H183" s="194"/>
      <c r="I183" s="194"/>
      <c r="J183" s="194"/>
      <c r="K183" s="194">
        <v>50</v>
      </c>
      <c r="L183" s="194">
        <v>50</v>
      </c>
      <c r="M183" s="194"/>
      <c r="N183" s="194">
        <v>50</v>
      </c>
    </row>
    <row r="185" spans="1:14" ht="21" customHeight="1" x14ac:dyDescent="0.25">
      <c r="I185" s="253" t="s">
        <v>604</v>
      </c>
      <c r="J185" s="253"/>
      <c r="K185" s="253"/>
      <c r="L185" s="253"/>
      <c r="M185" s="253"/>
      <c r="N185" s="253"/>
    </row>
  </sheetData>
  <mergeCells count="5">
    <mergeCell ref="A1:M1"/>
    <mergeCell ref="A2:M2"/>
    <mergeCell ref="A3:N3"/>
    <mergeCell ref="L4:N4"/>
    <mergeCell ref="I185:N185"/>
  </mergeCells>
  <phoneticPr fontId="2" type="noConversion"/>
  <printOptions horizontalCentered="1"/>
  <pageMargins left="0" right="0" top="0.7" bottom="0.6" header="0.5" footer="0.2"/>
  <pageSetup paperSize="9" scale="98" orientation="landscape" r:id="rId1"/>
  <headerFooter alignWithMargins="0">
    <oddFooter>&amp;C&amp;P /13 (PL04)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workbookViewId="0">
      <selection activeCell="I7" sqref="I7"/>
    </sheetView>
  </sheetViews>
  <sheetFormatPr defaultColWidth="9" defaultRowHeight="15.75" x14ac:dyDescent="0.25"/>
  <cols>
    <col min="1" max="1" width="4.5" style="201" customWidth="1"/>
    <col min="2" max="2" width="34.75" style="201" customWidth="1"/>
    <col min="3" max="3" width="6" style="201" customWidth="1"/>
    <col min="4" max="4" width="7.25" style="201" customWidth="1"/>
    <col min="5" max="5" width="8" style="201" customWidth="1"/>
    <col min="6" max="6" width="8.5" style="201" customWidth="1"/>
    <col min="7" max="8" width="6.75" style="201" customWidth="1"/>
    <col min="9" max="9" width="6.625" style="201" customWidth="1"/>
    <col min="10" max="10" width="5.375" style="201" customWidth="1"/>
    <col min="11" max="11" width="6.25" style="201" customWidth="1"/>
    <col min="12" max="12" width="8.875" style="201" customWidth="1"/>
    <col min="13" max="13" width="8.25" style="201" customWidth="1"/>
    <col min="14" max="14" width="8.5" style="201" customWidth="1"/>
    <col min="15" max="15" width="8" style="201" customWidth="1"/>
    <col min="16" max="16384" width="9" style="201"/>
  </cols>
  <sheetData>
    <row r="1" spans="1:15" ht="22.15" customHeight="1" x14ac:dyDescent="0.25">
      <c r="A1" s="250" t="s">
        <v>256</v>
      </c>
      <c r="B1" s="250"/>
      <c r="C1" s="250"/>
      <c r="D1" s="250"/>
      <c r="E1" s="250"/>
      <c r="F1" s="250"/>
      <c r="G1" s="250"/>
      <c r="H1" s="250"/>
      <c r="I1" s="250"/>
      <c r="J1" s="250"/>
      <c r="K1" s="250"/>
      <c r="L1" s="250"/>
      <c r="M1" s="250"/>
      <c r="N1" s="250"/>
      <c r="O1" s="250"/>
    </row>
    <row r="2" spans="1:15" ht="19.899999999999999" customHeight="1" x14ac:dyDescent="0.3">
      <c r="A2" s="259" t="s">
        <v>527</v>
      </c>
      <c r="B2" s="259"/>
      <c r="C2" s="259"/>
      <c r="D2" s="259"/>
      <c r="E2" s="259"/>
      <c r="F2" s="259"/>
      <c r="G2" s="259"/>
      <c r="H2" s="259"/>
      <c r="I2" s="259"/>
      <c r="J2" s="259"/>
      <c r="K2" s="259"/>
      <c r="L2" s="259"/>
      <c r="M2" s="259"/>
      <c r="N2" s="259"/>
      <c r="O2" s="259"/>
    </row>
    <row r="3" spans="1:15" ht="19.899999999999999" customHeight="1" x14ac:dyDescent="0.25">
      <c r="A3" s="251" t="s">
        <v>796</v>
      </c>
      <c r="B3" s="251"/>
      <c r="C3" s="251"/>
      <c r="D3" s="251"/>
      <c r="E3" s="251"/>
      <c r="F3" s="251"/>
      <c r="G3" s="251"/>
      <c r="H3" s="251"/>
      <c r="I3" s="251"/>
      <c r="J3" s="251"/>
      <c r="K3" s="251"/>
      <c r="L3" s="251"/>
      <c r="M3" s="251"/>
      <c r="N3" s="251"/>
      <c r="O3" s="251"/>
    </row>
    <row r="4" spans="1:15" ht="20.45" customHeight="1" x14ac:dyDescent="0.25">
      <c r="M4" s="260" t="s">
        <v>469</v>
      </c>
      <c r="N4" s="260"/>
      <c r="O4" s="260"/>
    </row>
    <row r="5" spans="1:15" s="204" customFormat="1" ht="32.1" customHeight="1" x14ac:dyDescent="0.25">
      <c r="A5" s="255" t="s">
        <v>731</v>
      </c>
      <c r="B5" s="255" t="s">
        <v>528</v>
      </c>
      <c r="C5" s="256" t="s">
        <v>288</v>
      </c>
      <c r="D5" s="256"/>
      <c r="E5" s="255" t="s">
        <v>529</v>
      </c>
      <c r="F5" s="255" t="s">
        <v>530</v>
      </c>
      <c r="G5" s="255"/>
      <c r="H5" s="255"/>
      <c r="I5" s="255"/>
      <c r="J5" s="255"/>
      <c r="K5" s="255"/>
      <c r="L5" s="257" t="s">
        <v>791</v>
      </c>
      <c r="M5" s="257" t="s">
        <v>788</v>
      </c>
      <c r="N5" s="257" t="s">
        <v>789</v>
      </c>
      <c r="O5" s="257" t="s">
        <v>790</v>
      </c>
    </row>
    <row r="6" spans="1:15" s="204" customFormat="1" ht="32.1" customHeight="1" x14ac:dyDescent="0.25">
      <c r="A6" s="255"/>
      <c r="B6" s="255"/>
      <c r="C6" s="206" t="s">
        <v>289</v>
      </c>
      <c r="D6" s="206" t="s">
        <v>44</v>
      </c>
      <c r="E6" s="255"/>
      <c r="F6" s="206" t="s">
        <v>1</v>
      </c>
      <c r="G6" s="206" t="s">
        <v>784</v>
      </c>
      <c r="H6" s="206" t="s">
        <v>785</v>
      </c>
      <c r="I6" s="206" t="s">
        <v>786</v>
      </c>
      <c r="J6" s="206" t="s">
        <v>787</v>
      </c>
      <c r="K6" s="206" t="s">
        <v>605</v>
      </c>
      <c r="L6" s="258"/>
      <c r="M6" s="258"/>
      <c r="N6" s="258"/>
      <c r="O6" s="258"/>
    </row>
    <row r="7" spans="1:15" s="209" customFormat="1" ht="24.75" customHeight="1" x14ac:dyDescent="0.25">
      <c r="A7" s="207"/>
      <c r="B7" s="187" t="s">
        <v>531</v>
      </c>
      <c r="C7" s="208">
        <f t="shared" ref="C7:O7" si="0">SUM(C10,C13,C18,C23,C28,C31,C34,C37:C41,C44:C60,C63:C86)</f>
        <v>616</v>
      </c>
      <c r="D7" s="208">
        <f t="shared" si="0"/>
        <v>579</v>
      </c>
      <c r="E7" s="208">
        <f t="shared" si="0"/>
        <v>54181</v>
      </c>
      <c r="F7" s="208">
        <f t="shared" si="0"/>
        <v>10447.199999999999</v>
      </c>
      <c r="G7" s="208">
        <f t="shared" si="0"/>
        <v>1885.7999999999997</v>
      </c>
      <c r="H7" s="220">
        <f t="shared" si="0"/>
        <v>2129.1999999999998</v>
      </c>
      <c r="I7" s="220">
        <f t="shared" si="0"/>
        <v>5437.4000000000005</v>
      </c>
      <c r="J7" s="220">
        <f t="shared" si="0"/>
        <v>220</v>
      </c>
      <c r="K7" s="220">
        <f t="shared" si="0"/>
        <v>774.80000000000007</v>
      </c>
      <c r="L7" s="220">
        <f t="shared" si="0"/>
        <v>40215.06</v>
      </c>
      <c r="M7" s="220">
        <f t="shared" si="0"/>
        <v>6496.8</v>
      </c>
      <c r="N7" s="220">
        <f t="shared" si="0"/>
        <v>100892.86</v>
      </c>
      <c r="O7" s="220">
        <f t="shared" si="0"/>
        <v>50000</v>
      </c>
    </row>
    <row r="8" spans="1:15" s="209" customFormat="1" ht="25.5" customHeight="1" x14ac:dyDescent="0.25">
      <c r="A8" s="207"/>
      <c r="B8" s="193" t="s">
        <v>532</v>
      </c>
      <c r="C8" s="208"/>
      <c r="D8" s="208"/>
      <c r="E8" s="208"/>
      <c r="F8" s="208"/>
      <c r="G8" s="208"/>
      <c r="H8" s="220"/>
      <c r="I8" s="220"/>
      <c r="J8" s="220"/>
      <c r="K8" s="220"/>
      <c r="L8" s="220"/>
      <c r="M8" s="220"/>
      <c r="N8" s="216">
        <f>N7-N9</f>
        <v>98649.86</v>
      </c>
      <c r="O8" s="220"/>
    </row>
    <row r="9" spans="1:15" s="209" customFormat="1" ht="34.5" customHeight="1" x14ac:dyDescent="0.25">
      <c r="A9" s="207"/>
      <c r="B9" s="199" t="s">
        <v>793</v>
      </c>
      <c r="C9" s="208"/>
      <c r="D9" s="208"/>
      <c r="E9" s="208"/>
      <c r="F9" s="208"/>
      <c r="G9" s="208"/>
      <c r="H9" s="220"/>
      <c r="I9" s="220"/>
      <c r="J9" s="220"/>
      <c r="K9" s="220"/>
      <c r="L9" s="220"/>
      <c r="M9" s="220"/>
      <c r="N9" s="216">
        <f>SUM(N17,N22,N27,N30,N33,N36,)</f>
        <v>2243</v>
      </c>
      <c r="O9" s="220"/>
    </row>
    <row r="10" spans="1:15" s="212" customFormat="1" ht="23.1" customHeight="1" x14ac:dyDescent="0.25">
      <c r="A10" s="211">
        <v>1</v>
      </c>
      <c r="B10" s="193" t="s">
        <v>583</v>
      </c>
      <c r="C10" s="210">
        <v>51</v>
      </c>
      <c r="D10" s="210">
        <v>48</v>
      </c>
      <c r="E10" s="210">
        <v>5215</v>
      </c>
      <c r="F10" s="198"/>
      <c r="G10" s="198"/>
      <c r="H10" s="194"/>
      <c r="I10" s="194"/>
      <c r="J10" s="194"/>
      <c r="K10" s="194"/>
      <c r="L10" s="216">
        <v>6000</v>
      </c>
      <c r="M10" s="194"/>
      <c r="N10" s="216">
        <f t="shared" ref="N10" si="1">SUM(N11:N12)</f>
        <v>11215</v>
      </c>
      <c r="O10" s="194"/>
    </row>
    <row r="11" spans="1:15" s="212" customFormat="1" ht="23.1" customHeight="1" x14ac:dyDescent="0.25">
      <c r="A11" s="211" t="s">
        <v>533</v>
      </c>
      <c r="B11" s="193" t="s">
        <v>282</v>
      </c>
      <c r="C11" s="210">
        <v>51</v>
      </c>
      <c r="D11" s="210">
        <v>48</v>
      </c>
      <c r="E11" s="210">
        <v>5215</v>
      </c>
      <c r="F11" s="210"/>
      <c r="G11" s="210"/>
      <c r="H11" s="194"/>
      <c r="I11" s="194"/>
      <c r="J11" s="194"/>
      <c r="K11" s="194"/>
      <c r="L11" s="216">
        <v>3000</v>
      </c>
      <c r="M11" s="194"/>
      <c r="N11" s="216">
        <f>E11+L11+M11</f>
        <v>8215</v>
      </c>
      <c r="O11" s="194"/>
    </row>
    <row r="12" spans="1:15" s="212" customFormat="1" ht="23.1" customHeight="1" x14ac:dyDescent="0.25">
      <c r="A12" s="211" t="s">
        <v>533</v>
      </c>
      <c r="B12" s="193" t="s">
        <v>534</v>
      </c>
      <c r="C12" s="210"/>
      <c r="D12" s="210"/>
      <c r="E12" s="210"/>
      <c r="F12" s="210"/>
      <c r="G12" s="210"/>
      <c r="H12" s="194"/>
      <c r="I12" s="194"/>
      <c r="J12" s="194"/>
      <c r="K12" s="194"/>
      <c r="L12" s="216">
        <v>3000</v>
      </c>
      <c r="M12" s="194"/>
      <c r="N12" s="216">
        <f>E12+L12+M12</f>
        <v>3000</v>
      </c>
      <c r="O12" s="194"/>
    </row>
    <row r="13" spans="1:15" s="212" customFormat="1" ht="23.1" customHeight="1" x14ac:dyDescent="0.25">
      <c r="A13" s="211">
        <v>2</v>
      </c>
      <c r="B13" s="193" t="s">
        <v>739</v>
      </c>
      <c r="C13" s="210">
        <v>272</v>
      </c>
      <c r="D13" s="210">
        <v>256</v>
      </c>
      <c r="E13" s="210">
        <v>25398</v>
      </c>
      <c r="F13" s="210">
        <v>2365.3999999999996</v>
      </c>
      <c r="G13" s="210">
        <v>1885.7999999999997</v>
      </c>
      <c r="H13" s="216">
        <v>430</v>
      </c>
      <c r="I13" s="216">
        <v>49.6</v>
      </c>
      <c r="J13" s="194"/>
      <c r="K13" s="194"/>
      <c r="L13" s="216">
        <v>6648.02</v>
      </c>
      <c r="M13" s="214">
        <v>5040.8</v>
      </c>
      <c r="N13" s="216">
        <f>E13+L13+M13</f>
        <v>37086.82</v>
      </c>
      <c r="O13" s="214">
        <f>O14+O15</f>
        <v>20000</v>
      </c>
    </row>
    <row r="14" spans="1:15" s="212" customFormat="1" ht="23.1" customHeight="1" x14ac:dyDescent="0.25">
      <c r="A14" s="211" t="s">
        <v>535</v>
      </c>
      <c r="B14" s="193" t="s">
        <v>740</v>
      </c>
      <c r="C14" s="210">
        <v>272</v>
      </c>
      <c r="D14" s="210">
        <v>256</v>
      </c>
      <c r="E14" s="210">
        <v>25398</v>
      </c>
      <c r="F14" s="210">
        <v>2101.7999999999997</v>
      </c>
      <c r="G14" s="210">
        <v>1622.1999999999998</v>
      </c>
      <c r="H14" s="216">
        <v>430</v>
      </c>
      <c r="I14" s="216">
        <v>49.6</v>
      </c>
      <c r="J14" s="194"/>
      <c r="K14" s="194"/>
      <c r="L14" s="216">
        <v>6648.02</v>
      </c>
      <c r="M14" s="194"/>
      <c r="N14" s="216">
        <f>E14+L14+M14</f>
        <v>32046.02</v>
      </c>
      <c r="O14" s="194">
        <v>20000</v>
      </c>
    </row>
    <row r="15" spans="1:15" s="212" customFormat="1" ht="23.1" customHeight="1" x14ac:dyDescent="0.25">
      <c r="A15" s="211" t="s">
        <v>535</v>
      </c>
      <c r="B15" s="193" t="s">
        <v>536</v>
      </c>
      <c r="C15" s="210"/>
      <c r="D15" s="210"/>
      <c r="E15" s="210"/>
      <c r="F15" s="210">
        <v>263.60000000000002</v>
      </c>
      <c r="G15" s="210">
        <v>263.60000000000002</v>
      </c>
      <c r="H15" s="194"/>
      <c r="I15" s="194"/>
      <c r="J15" s="194"/>
      <c r="K15" s="194"/>
      <c r="L15" s="194">
        <v>0</v>
      </c>
      <c r="M15" s="214">
        <v>5040.8</v>
      </c>
      <c r="N15" s="216">
        <f>E15+L15+M15</f>
        <v>5040.8</v>
      </c>
      <c r="O15" s="214">
        <v>0</v>
      </c>
    </row>
    <row r="16" spans="1:15" s="212" customFormat="1" ht="23.1" customHeight="1" x14ac:dyDescent="0.25">
      <c r="A16" s="211"/>
      <c r="B16" s="193" t="s">
        <v>532</v>
      </c>
      <c r="C16" s="210"/>
      <c r="D16" s="210"/>
      <c r="E16" s="210"/>
      <c r="F16" s="210"/>
      <c r="G16" s="210"/>
      <c r="H16" s="194"/>
      <c r="I16" s="194"/>
      <c r="J16" s="194"/>
      <c r="K16" s="194"/>
      <c r="L16" s="194"/>
      <c r="M16" s="214"/>
      <c r="N16" s="214">
        <f>N13-N17</f>
        <v>35931.82</v>
      </c>
      <c r="O16" s="214"/>
    </row>
    <row r="17" spans="1:15" s="212" customFormat="1" ht="23.1" customHeight="1" x14ac:dyDescent="0.25">
      <c r="A17" s="211"/>
      <c r="B17" s="193" t="s">
        <v>537</v>
      </c>
      <c r="C17" s="210"/>
      <c r="D17" s="210"/>
      <c r="E17" s="210"/>
      <c r="F17" s="210"/>
      <c r="G17" s="210"/>
      <c r="H17" s="194"/>
      <c r="I17" s="194"/>
      <c r="J17" s="194"/>
      <c r="K17" s="194"/>
      <c r="L17" s="194"/>
      <c r="M17" s="214"/>
      <c r="N17" s="214">
        <v>1155</v>
      </c>
      <c r="O17" s="214"/>
    </row>
    <row r="18" spans="1:15" s="212" customFormat="1" ht="23.1" customHeight="1" x14ac:dyDescent="0.25">
      <c r="A18" s="211">
        <v>3</v>
      </c>
      <c r="B18" s="193" t="s">
        <v>741</v>
      </c>
      <c r="C18" s="210">
        <v>73</v>
      </c>
      <c r="D18" s="210">
        <v>65</v>
      </c>
      <c r="E18" s="210">
        <v>6209</v>
      </c>
      <c r="F18" s="210">
        <v>1211.8000000000002</v>
      </c>
      <c r="G18" s="198"/>
      <c r="H18" s="216">
        <v>626.6</v>
      </c>
      <c r="I18" s="216">
        <v>585.20000000000005</v>
      </c>
      <c r="J18" s="194"/>
      <c r="K18" s="194"/>
      <c r="L18" s="216">
        <v>1750.1599999999999</v>
      </c>
      <c r="M18" s="214">
        <v>196</v>
      </c>
      <c r="N18" s="214">
        <f t="shared" ref="N18:O18" si="2">N19+N20</f>
        <v>8155.16</v>
      </c>
      <c r="O18" s="214">
        <f t="shared" si="2"/>
        <v>7400</v>
      </c>
    </row>
    <row r="19" spans="1:15" s="212" customFormat="1" ht="23.1" customHeight="1" x14ac:dyDescent="0.25">
      <c r="A19" s="211" t="s">
        <v>535</v>
      </c>
      <c r="B19" s="193" t="s">
        <v>740</v>
      </c>
      <c r="C19" s="210">
        <v>73</v>
      </c>
      <c r="D19" s="210">
        <v>65</v>
      </c>
      <c r="E19" s="210">
        <v>6209</v>
      </c>
      <c r="F19" s="210">
        <v>1197.8000000000002</v>
      </c>
      <c r="G19" s="198"/>
      <c r="H19" s="216">
        <v>625.6</v>
      </c>
      <c r="I19" s="216">
        <v>572.20000000000005</v>
      </c>
      <c r="J19" s="194"/>
      <c r="K19" s="194"/>
      <c r="L19" s="216">
        <v>1750.1599999999999</v>
      </c>
      <c r="M19" s="214"/>
      <c r="N19" s="216">
        <f>E19+L19+M19</f>
        <v>7959.16</v>
      </c>
      <c r="O19" s="214">
        <v>7400</v>
      </c>
    </row>
    <row r="20" spans="1:15" s="212" customFormat="1" ht="23.1" customHeight="1" x14ac:dyDescent="0.25">
      <c r="A20" s="211" t="s">
        <v>535</v>
      </c>
      <c r="B20" s="193" t="s">
        <v>536</v>
      </c>
      <c r="C20" s="198"/>
      <c r="D20" s="198"/>
      <c r="E20" s="198"/>
      <c r="F20" s="210">
        <v>14</v>
      </c>
      <c r="G20" s="198"/>
      <c r="H20" s="216">
        <v>1</v>
      </c>
      <c r="I20" s="216">
        <v>13</v>
      </c>
      <c r="J20" s="194"/>
      <c r="K20" s="194"/>
      <c r="L20" s="216"/>
      <c r="M20" s="214">
        <v>196</v>
      </c>
      <c r="N20" s="216">
        <f>E20+L20+M20</f>
        <v>196</v>
      </c>
      <c r="O20" s="214"/>
    </row>
    <row r="21" spans="1:15" s="212" customFormat="1" ht="23.1" customHeight="1" x14ac:dyDescent="0.25">
      <c r="A21" s="211"/>
      <c r="B21" s="193" t="s">
        <v>532</v>
      </c>
      <c r="C21" s="198"/>
      <c r="D21" s="198"/>
      <c r="E21" s="198"/>
      <c r="F21" s="210"/>
      <c r="G21" s="198"/>
      <c r="H21" s="216"/>
      <c r="I21" s="216"/>
      <c r="J21" s="194"/>
      <c r="K21" s="194"/>
      <c r="L21" s="216"/>
      <c r="M21" s="214"/>
      <c r="N21" s="214">
        <f>N18-N22</f>
        <v>7881.16</v>
      </c>
      <c r="O21" s="214"/>
    </row>
    <row r="22" spans="1:15" s="212" customFormat="1" ht="23.1" customHeight="1" x14ac:dyDescent="0.25">
      <c r="A22" s="211"/>
      <c r="B22" s="193" t="s">
        <v>537</v>
      </c>
      <c r="C22" s="198"/>
      <c r="D22" s="198"/>
      <c r="E22" s="198"/>
      <c r="F22" s="198"/>
      <c r="G22" s="198"/>
      <c r="H22" s="216"/>
      <c r="I22" s="216"/>
      <c r="J22" s="194"/>
      <c r="K22" s="194"/>
      <c r="L22" s="216"/>
      <c r="M22" s="214"/>
      <c r="N22" s="214">
        <v>274</v>
      </c>
      <c r="O22" s="214"/>
    </row>
    <row r="23" spans="1:15" s="212" customFormat="1" ht="23.1" customHeight="1" x14ac:dyDescent="0.25">
      <c r="A23" s="211">
        <v>4</v>
      </c>
      <c r="B23" s="193" t="s">
        <v>742</v>
      </c>
      <c r="C23" s="210">
        <v>92</v>
      </c>
      <c r="D23" s="210">
        <v>89</v>
      </c>
      <c r="E23" s="210">
        <v>7312</v>
      </c>
      <c r="F23" s="210">
        <v>890.4</v>
      </c>
      <c r="G23" s="198"/>
      <c r="H23" s="216">
        <v>809.4</v>
      </c>
      <c r="I23" s="216">
        <v>81</v>
      </c>
      <c r="J23" s="194"/>
      <c r="K23" s="194"/>
      <c r="L23" s="216">
        <v>1320.18</v>
      </c>
      <c r="M23" s="214">
        <v>1260</v>
      </c>
      <c r="N23" s="216">
        <f>E23+L23+M23</f>
        <v>9892.18</v>
      </c>
      <c r="O23" s="214">
        <f t="shared" ref="O23" si="3">O24+O25</f>
        <v>8000</v>
      </c>
    </row>
    <row r="24" spans="1:15" s="212" customFormat="1" ht="23.1" customHeight="1" x14ac:dyDescent="0.25">
      <c r="A24" s="211" t="s">
        <v>535</v>
      </c>
      <c r="B24" s="193" t="s">
        <v>740</v>
      </c>
      <c r="C24" s="210">
        <v>92</v>
      </c>
      <c r="D24" s="210">
        <v>89</v>
      </c>
      <c r="E24" s="210">
        <v>7312</v>
      </c>
      <c r="F24" s="210">
        <v>800.4</v>
      </c>
      <c r="G24" s="198"/>
      <c r="H24" s="216">
        <v>719.4</v>
      </c>
      <c r="I24" s="216">
        <v>81</v>
      </c>
      <c r="J24" s="194"/>
      <c r="K24" s="194"/>
      <c r="L24" s="216">
        <v>1320.18</v>
      </c>
      <c r="M24" s="214"/>
      <c r="N24" s="216">
        <f>E24+L24+M24</f>
        <v>8632.18</v>
      </c>
      <c r="O24" s="214">
        <v>8000</v>
      </c>
    </row>
    <row r="25" spans="1:15" s="212" customFormat="1" ht="23.1" customHeight="1" x14ac:dyDescent="0.25">
      <c r="A25" s="211" t="s">
        <v>535</v>
      </c>
      <c r="B25" s="193" t="s">
        <v>743</v>
      </c>
      <c r="C25" s="198"/>
      <c r="D25" s="198"/>
      <c r="E25" s="198"/>
      <c r="F25" s="210">
        <v>90</v>
      </c>
      <c r="G25" s="198"/>
      <c r="H25" s="216">
        <v>90</v>
      </c>
      <c r="I25" s="216"/>
      <c r="J25" s="194"/>
      <c r="K25" s="194"/>
      <c r="L25" s="194">
        <v>0</v>
      </c>
      <c r="M25" s="214">
        <v>1260</v>
      </c>
      <c r="N25" s="216">
        <f>E25+L25+M25</f>
        <v>1260</v>
      </c>
      <c r="O25" s="214"/>
    </row>
    <row r="26" spans="1:15" s="212" customFormat="1" ht="23.1" customHeight="1" x14ac:dyDescent="0.25">
      <c r="A26" s="211"/>
      <c r="B26" s="193" t="s">
        <v>532</v>
      </c>
      <c r="C26" s="198"/>
      <c r="D26" s="198"/>
      <c r="E26" s="198"/>
      <c r="F26" s="198"/>
      <c r="G26" s="198"/>
      <c r="H26" s="216"/>
      <c r="I26" s="216"/>
      <c r="J26" s="194"/>
      <c r="K26" s="194"/>
      <c r="L26" s="194"/>
      <c r="M26" s="214"/>
      <c r="N26" s="214">
        <f>N23-N27</f>
        <v>9542.18</v>
      </c>
      <c r="O26" s="214"/>
    </row>
    <row r="27" spans="1:15" s="212" customFormat="1" ht="23.1" customHeight="1" x14ac:dyDescent="0.25">
      <c r="A27" s="211"/>
      <c r="B27" s="193" t="s">
        <v>537</v>
      </c>
      <c r="C27" s="198"/>
      <c r="D27" s="198"/>
      <c r="E27" s="198"/>
      <c r="F27" s="198"/>
      <c r="G27" s="198"/>
      <c r="H27" s="216"/>
      <c r="I27" s="216"/>
      <c r="J27" s="194"/>
      <c r="K27" s="194"/>
      <c r="L27" s="194"/>
      <c r="M27" s="214"/>
      <c r="N27" s="214">
        <v>350</v>
      </c>
      <c r="O27" s="214"/>
    </row>
    <row r="28" spans="1:15" s="212" customFormat="1" ht="23.1" customHeight="1" x14ac:dyDescent="0.25">
      <c r="A28" s="211">
        <v>5</v>
      </c>
      <c r="B28" s="193" t="s">
        <v>744</v>
      </c>
      <c r="C28" s="210">
        <v>55</v>
      </c>
      <c r="D28" s="210">
        <v>52</v>
      </c>
      <c r="E28" s="210">
        <v>4678</v>
      </c>
      <c r="F28" s="210">
        <v>518</v>
      </c>
      <c r="G28" s="198"/>
      <c r="H28" s="216">
        <v>80</v>
      </c>
      <c r="I28" s="216">
        <v>418</v>
      </c>
      <c r="J28" s="194">
        <v>20</v>
      </c>
      <c r="K28" s="194"/>
      <c r="L28" s="214">
        <v>1010</v>
      </c>
      <c r="M28" s="214"/>
      <c r="N28" s="216">
        <f>E28+L28+M28</f>
        <v>5688</v>
      </c>
      <c r="O28" s="214">
        <f t="shared" ref="O28" si="4">SUM(O29:O30)</f>
        <v>3000</v>
      </c>
    </row>
    <row r="29" spans="1:15" s="212" customFormat="1" ht="23.1" customHeight="1" x14ac:dyDescent="0.25">
      <c r="A29" s="211"/>
      <c r="B29" s="193" t="s">
        <v>532</v>
      </c>
      <c r="C29" s="210"/>
      <c r="D29" s="210"/>
      <c r="E29" s="210"/>
      <c r="F29" s="210"/>
      <c r="G29" s="198"/>
      <c r="H29" s="216"/>
      <c r="I29" s="216"/>
      <c r="J29" s="194"/>
      <c r="K29" s="194"/>
      <c r="L29" s="214"/>
      <c r="M29" s="214"/>
      <c r="N29" s="214">
        <f>N28-N30</f>
        <v>5469</v>
      </c>
      <c r="O29" s="214">
        <v>3000</v>
      </c>
    </row>
    <row r="30" spans="1:15" s="212" customFormat="1" ht="23.1" customHeight="1" x14ac:dyDescent="0.25">
      <c r="A30" s="211"/>
      <c r="B30" s="193" t="s">
        <v>537</v>
      </c>
      <c r="C30" s="210"/>
      <c r="D30" s="210"/>
      <c r="E30" s="210"/>
      <c r="F30" s="210"/>
      <c r="G30" s="198"/>
      <c r="H30" s="216"/>
      <c r="I30" s="216"/>
      <c r="J30" s="194"/>
      <c r="K30" s="194"/>
      <c r="L30" s="214"/>
      <c r="M30" s="214"/>
      <c r="N30" s="214">
        <v>219</v>
      </c>
      <c r="O30" s="214"/>
    </row>
    <row r="31" spans="1:15" s="212" customFormat="1" ht="23.1" customHeight="1" x14ac:dyDescent="0.25">
      <c r="A31" s="211">
        <v>6</v>
      </c>
      <c r="B31" s="193" t="s">
        <v>745</v>
      </c>
      <c r="C31" s="210">
        <v>30</v>
      </c>
      <c r="D31" s="210">
        <v>30</v>
      </c>
      <c r="E31" s="210">
        <v>2302</v>
      </c>
      <c r="F31" s="210">
        <v>1088.8</v>
      </c>
      <c r="G31" s="198"/>
      <c r="H31" s="194"/>
      <c r="I31" s="194">
        <v>916.4</v>
      </c>
      <c r="J31" s="194"/>
      <c r="K31" s="194">
        <v>172.4</v>
      </c>
      <c r="L31" s="214">
        <v>1185.8799999999999</v>
      </c>
      <c r="M31" s="214"/>
      <c r="N31" s="216">
        <f>E31+L31+M31</f>
        <v>3487.88</v>
      </c>
      <c r="O31" s="214">
        <f t="shared" ref="O31" si="5">SUM(O32:O33)</f>
        <v>2800</v>
      </c>
    </row>
    <row r="32" spans="1:15" s="212" customFormat="1" ht="23.1" customHeight="1" x14ac:dyDescent="0.25">
      <c r="A32" s="211"/>
      <c r="B32" s="193" t="s">
        <v>532</v>
      </c>
      <c r="C32" s="210"/>
      <c r="D32" s="210"/>
      <c r="E32" s="210"/>
      <c r="F32" s="210"/>
      <c r="G32" s="198"/>
      <c r="H32" s="194"/>
      <c r="I32" s="194"/>
      <c r="J32" s="194"/>
      <c r="K32" s="194"/>
      <c r="L32" s="214"/>
      <c r="M32" s="214"/>
      <c r="N32" s="214">
        <f>N31-N33</f>
        <v>3373.88</v>
      </c>
      <c r="O32" s="214">
        <v>2800</v>
      </c>
    </row>
    <row r="33" spans="1:15" s="212" customFormat="1" ht="23.1" customHeight="1" x14ac:dyDescent="0.25">
      <c r="A33" s="211"/>
      <c r="B33" s="193" t="s">
        <v>537</v>
      </c>
      <c r="C33" s="210"/>
      <c r="D33" s="210"/>
      <c r="E33" s="210"/>
      <c r="F33" s="210"/>
      <c r="G33" s="198"/>
      <c r="H33" s="194"/>
      <c r="I33" s="194"/>
      <c r="J33" s="194"/>
      <c r="K33" s="194"/>
      <c r="L33" s="214"/>
      <c r="M33" s="214"/>
      <c r="N33" s="214">
        <v>114</v>
      </c>
      <c r="O33" s="214"/>
    </row>
    <row r="34" spans="1:15" s="212" customFormat="1" ht="23.1" customHeight="1" x14ac:dyDescent="0.25">
      <c r="A34" s="211">
        <v>7</v>
      </c>
      <c r="B34" s="193" t="s">
        <v>746</v>
      </c>
      <c r="C34" s="210">
        <v>39</v>
      </c>
      <c r="D34" s="210">
        <v>37</v>
      </c>
      <c r="E34" s="210">
        <v>2792</v>
      </c>
      <c r="F34" s="210">
        <v>2143.4</v>
      </c>
      <c r="G34" s="198"/>
      <c r="H34" s="194"/>
      <c r="I34" s="216">
        <v>1555.2</v>
      </c>
      <c r="J34" s="216">
        <v>50</v>
      </c>
      <c r="K34" s="216">
        <v>538.20000000000005</v>
      </c>
      <c r="L34" s="214">
        <v>2160.34</v>
      </c>
      <c r="M34" s="214"/>
      <c r="N34" s="216">
        <f>E34+L34+M34</f>
        <v>4952.34</v>
      </c>
      <c r="O34" s="214">
        <f t="shared" ref="O34" si="6">SUM(O35:O36)</f>
        <v>6700</v>
      </c>
    </row>
    <row r="35" spans="1:15" s="212" customFormat="1" ht="23.1" customHeight="1" x14ac:dyDescent="0.25">
      <c r="A35" s="211"/>
      <c r="B35" s="193" t="s">
        <v>532</v>
      </c>
      <c r="C35" s="210"/>
      <c r="D35" s="210"/>
      <c r="E35" s="210"/>
      <c r="F35" s="210"/>
      <c r="G35" s="198"/>
      <c r="H35" s="194"/>
      <c r="I35" s="216"/>
      <c r="J35" s="216"/>
      <c r="K35" s="216"/>
      <c r="L35" s="214"/>
      <c r="M35" s="214"/>
      <c r="N35" s="214">
        <f>N34-N36</f>
        <v>4821.34</v>
      </c>
      <c r="O35" s="214">
        <v>6700</v>
      </c>
    </row>
    <row r="36" spans="1:15" s="212" customFormat="1" ht="23.1" customHeight="1" x14ac:dyDescent="0.25">
      <c r="A36" s="211"/>
      <c r="B36" s="193" t="s">
        <v>537</v>
      </c>
      <c r="C36" s="210"/>
      <c r="D36" s="210"/>
      <c r="E36" s="210"/>
      <c r="F36" s="210"/>
      <c r="G36" s="198"/>
      <c r="H36" s="194"/>
      <c r="I36" s="194"/>
      <c r="J36" s="194"/>
      <c r="K36" s="194"/>
      <c r="L36" s="214"/>
      <c r="M36" s="214"/>
      <c r="N36" s="214">
        <v>131</v>
      </c>
      <c r="O36" s="214"/>
    </row>
    <row r="37" spans="1:15" s="212" customFormat="1" ht="23.1" customHeight="1" x14ac:dyDescent="0.25">
      <c r="A37" s="211">
        <v>8</v>
      </c>
      <c r="B37" s="193" t="s">
        <v>747</v>
      </c>
      <c r="C37" s="210">
        <v>4</v>
      </c>
      <c r="D37" s="210">
        <v>2</v>
      </c>
      <c r="E37" s="210">
        <v>275</v>
      </c>
      <c r="F37" s="213">
        <v>664.4</v>
      </c>
      <c r="G37" s="213"/>
      <c r="H37" s="214"/>
      <c r="I37" s="214">
        <v>514.4</v>
      </c>
      <c r="J37" s="216">
        <v>150</v>
      </c>
      <c r="K37" s="194"/>
      <c r="L37" s="214">
        <v>892.28</v>
      </c>
      <c r="M37" s="214"/>
      <c r="N37" s="216">
        <f t="shared" ref="N37:N75" si="7">E37+L37+M37</f>
        <v>1167.28</v>
      </c>
      <c r="O37" s="214">
        <v>2100</v>
      </c>
    </row>
    <row r="38" spans="1:15" s="212" customFormat="1" ht="23.1" customHeight="1" x14ac:dyDescent="0.25">
      <c r="A38" s="211">
        <v>9</v>
      </c>
      <c r="B38" s="193" t="s">
        <v>748</v>
      </c>
      <c r="C38" s="210"/>
      <c r="D38" s="210"/>
      <c r="E38" s="210"/>
      <c r="F38" s="213">
        <v>914.2</v>
      </c>
      <c r="G38" s="213"/>
      <c r="H38" s="214">
        <v>172.2</v>
      </c>
      <c r="I38" s="214">
        <v>677.8</v>
      </c>
      <c r="J38" s="194"/>
      <c r="K38" s="194">
        <v>64.2</v>
      </c>
      <c r="L38" s="214">
        <v>1138.1999999999998</v>
      </c>
      <c r="M38" s="214"/>
      <c r="N38" s="216">
        <f t="shared" si="7"/>
        <v>1138.1999999999998</v>
      </c>
      <c r="O38" s="214"/>
    </row>
    <row r="39" spans="1:15" s="212" customFormat="1" ht="39" customHeight="1" x14ac:dyDescent="0.25">
      <c r="A39" s="211">
        <v>10</v>
      </c>
      <c r="B39" s="200" t="s">
        <v>749</v>
      </c>
      <c r="C39" s="198"/>
      <c r="D39" s="198"/>
      <c r="E39" s="198"/>
      <c r="F39" s="198"/>
      <c r="G39" s="198"/>
      <c r="H39" s="194"/>
      <c r="I39" s="194"/>
      <c r="J39" s="194"/>
      <c r="K39" s="194"/>
      <c r="L39" s="214">
        <v>330</v>
      </c>
      <c r="M39" s="194"/>
      <c r="N39" s="216">
        <f t="shared" si="7"/>
        <v>330</v>
      </c>
      <c r="O39" s="194"/>
    </row>
    <row r="40" spans="1:15" s="212" customFormat="1" ht="23.1" customHeight="1" x14ac:dyDescent="0.25">
      <c r="A40" s="211">
        <v>11</v>
      </c>
      <c r="B40" s="193" t="s">
        <v>750</v>
      </c>
      <c r="C40" s="198"/>
      <c r="D40" s="198"/>
      <c r="E40" s="198"/>
      <c r="F40" s="198"/>
      <c r="G40" s="198"/>
      <c r="H40" s="194"/>
      <c r="I40" s="194"/>
      <c r="J40" s="194"/>
      <c r="K40" s="194"/>
      <c r="L40" s="214">
        <v>300</v>
      </c>
      <c r="M40" s="194"/>
      <c r="N40" s="216">
        <f t="shared" si="7"/>
        <v>300</v>
      </c>
      <c r="O40" s="194"/>
    </row>
    <row r="41" spans="1:15" s="212" customFormat="1" ht="23.1" customHeight="1" x14ac:dyDescent="0.25">
      <c r="A41" s="211">
        <v>12</v>
      </c>
      <c r="B41" s="193" t="s">
        <v>751</v>
      </c>
      <c r="C41" s="198"/>
      <c r="D41" s="198"/>
      <c r="E41" s="198"/>
      <c r="F41" s="210">
        <v>650.79999999999995</v>
      </c>
      <c r="G41" s="198"/>
      <c r="H41" s="216">
        <v>11</v>
      </c>
      <c r="I41" s="216">
        <v>639.79999999999995</v>
      </c>
      <c r="J41" s="194"/>
      <c r="K41" s="194"/>
      <c r="L41" s="214">
        <v>930</v>
      </c>
      <c r="M41" s="194"/>
      <c r="N41" s="216">
        <f t="shared" si="7"/>
        <v>930</v>
      </c>
      <c r="O41" s="194"/>
    </row>
    <row r="42" spans="1:15" s="212" customFormat="1" ht="23.1" customHeight="1" x14ac:dyDescent="0.25">
      <c r="A42" s="211"/>
      <c r="B42" s="193" t="s">
        <v>581</v>
      </c>
      <c r="C42" s="198"/>
      <c r="D42" s="198"/>
      <c r="E42" s="198"/>
      <c r="F42" s="210">
        <v>650.79999999999995</v>
      </c>
      <c r="G42" s="198"/>
      <c r="H42" s="216">
        <v>11</v>
      </c>
      <c r="I42" s="216">
        <v>639.79999999999995</v>
      </c>
      <c r="J42" s="194"/>
      <c r="K42" s="194"/>
      <c r="L42" s="214">
        <v>900</v>
      </c>
      <c r="M42" s="194"/>
      <c r="N42" s="216">
        <f t="shared" si="7"/>
        <v>900</v>
      </c>
      <c r="O42" s="194"/>
    </row>
    <row r="43" spans="1:15" s="212" customFormat="1" ht="23.1" customHeight="1" x14ac:dyDescent="0.25">
      <c r="A43" s="211"/>
      <c r="B43" s="193" t="s">
        <v>582</v>
      </c>
      <c r="C43" s="198"/>
      <c r="D43" s="198"/>
      <c r="E43" s="198"/>
      <c r="F43" s="198"/>
      <c r="G43" s="198"/>
      <c r="H43" s="194"/>
      <c r="I43" s="194"/>
      <c r="J43" s="194"/>
      <c r="K43" s="194"/>
      <c r="L43" s="215">
        <v>30</v>
      </c>
      <c r="M43" s="194"/>
      <c r="N43" s="216">
        <f t="shared" si="7"/>
        <v>30</v>
      </c>
      <c r="O43" s="194"/>
    </row>
    <row r="44" spans="1:15" s="212" customFormat="1" ht="23.1" customHeight="1" x14ac:dyDescent="0.25">
      <c r="A44" s="211">
        <v>13</v>
      </c>
      <c r="B44" s="193" t="s">
        <v>752</v>
      </c>
      <c r="C44" s="198"/>
      <c r="D44" s="198"/>
      <c r="E44" s="198"/>
      <c r="F44" s="198"/>
      <c r="G44" s="198"/>
      <c r="H44" s="194"/>
      <c r="I44" s="194"/>
      <c r="J44" s="194"/>
      <c r="K44" s="194"/>
      <c r="L44" s="214">
        <v>30</v>
      </c>
      <c r="M44" s="194"/>
      <c r="N44" s="216">
        <f t="shared" si="7"/>
        <v>30</v>
      </c>
      <c r="O44" s="194"/>
    </row>
    <row r="45" spans="1:15" s="212" customFormat="1" ht="23.1" customHeight="1" x14ac:dyDescent="0.25">
      <c r="A45" s="211">
        <v>14</v>
      </c>
      <c r="B45" s="193" t="s">
        <v>753</v>
      </c>
      <c r="C45" s="198"/>
      <c r="D45" s="198"/>
      <c r="E45" s="198"/>
      <c r="F45" s="198"/>
      <c r="G45" s="198"/>
      <c r="H45" s="194"/>
      <c r="I45" s="194"/>
      <c r="J45" s="194"/>
      <c r="K45" s="194"/>
      <c r="L45" s="214">
        <v>2860</v>
      </c>
      <c r="M45" s="194"/>
      <c r="N45" s="216">
        <f t="shared" si="7"/>
        <v>2860</v>
      </c>
      <c r="O45" s="194"/>
    </row>
    <row r="46" spans="1:15" s="212" customFormat="1" ht="23.1" customHeight="1" x14ac:dyDescent="0.25">
      <c r="A46" s="211">
        <v>15</v>
      </c>
      <c r="B46" s="193" t="s">
        <v>665</v>
      </c>
      <c r="C46" s="198"/>
      <c r="D46" s="198"/>
      <c r="E46" s="198"/>
      <c r="F46" s="198"/>
      <c r="G46" s="198"/>
      <c r="H46" s="194"/>
      <c r="I46" s="194"/>
      <c r="J46" s="214"/>
      <c r="K46" s="214"/>
      <c r="L46" s="214">
        <v>40</v>
      </c>
      <c r="M46" s="214"/>
      <c r="N46" s="216">
        <f t="shared" si="7"/>
        <v>40</v>
      </c>
      <c r="O46" s="194"/>
    </row>
    <row r="47" spans="1:15" s="212" customFormat="1" ht="23.1" customHeight="1" x14ac:dyDescent="0.25">
      <c r="A47" s="211">
        <v>16</v>
      </c>
      <c r="B47" s="193" t="s">
        <v>618</v>
      </c>
      <c r="C47" s="198"/>
      <c r="D47" s="198"/>
      <c r="E47" s="198"/>
      <c r="F47" s="198"/>
      <c r="G47" s="198"/>
      <c r="H47" s="194"/>
      <c r="I47" s="194"/>
      <c r="J47" s="214"/>
      <c r="K47" s="214"/>
      <c r="L47" s="214">
        <v>30</v>
      </c>
      <c r="M47" s="214"/>
      <c r="N47" s="216">
        <f t="shared" si="7"/>
        <v>30</v>
      </c>
      <c r="O47" s="194"/>
    </row>
    <row r="48" spans="1:15" s="212" customFormat="1" ht="23.1" customHeight="1" x14ac:dyDescent="0.25">
      <c r="A48" s="211">
        <v>17</v>
      </c>
      <c r="B48" s="193" t="s">
        <v>754</v>
      </c>
      <c r="C48" s="198"/>
      <c r="D48" s="198"/>
      <c r="E48" s="198"/>
      <c r="F48" s="198"/>
      <c r="G48" s="198"/>
      <c r="H48" s="194"/>
      <c r="I48" s="194"/>
      <c r="J48" s="214"/>
      <c r="K48" s="214"/>
      <c r="L48" s="214">
        <v>30</v>
      </c>
      <c r="M48" s="214"/>
      <c r="N48" s="216">
        <f t="shared" si="7"/>
        <v>30</v>
      </c>
      <c r="O48" s="194"/>
    </row>
    <row r="49" spans="1:15" s="212" customFormat="1" ht="23.1" customHeight="1" x14ac:dyDescent="0.25">
      <c r="A49" s="211">
        <v>18</v>
      </c>
      <c r="B49" s="193" t="s">
        <v>688</v>
      </c>
      <c r="C49" s="198"/>
      <c r="D49" s="198"/>
      <c r="E49" s="198"/>
      <c r="F49" s="198"/>
      <c r="G49" s="198"/>
      <c r="H49" s="194"/>
      <c r="I49" s="194"/>
      <c r="J49" s="214"/>
      <c r="K49" s="214"/>
      <c r="L49" s="214">
        <v>40</v>
      </c>
      <c r="M49" s="214"/>
      <c r="N49" s="216">
        <f t="shared" si="7"/>
        <v>40</v>
      </c>
      <c r="O49" s="194"/>
    </row>
    <row r="50" spans="1:15" s="212" customFormat="1" ht="23.1" customHeight="1" x14ac:dyDescent="0.25">
      <c r="A50" s="211">
        <v>19</v>
      </c>
      <c r="B50" s="193" t="s">
        <v>755</v>
      </c>
      <c r="C50" s="198"/>
      <c r="D50" s="198"/>
      <c r="E50" s="198"/>
      <c r="F50" s="198"/>
      <c r="G50" s="198"/>
      <c r="H50" s="194"/>
      <c r="I50" s="194"/>
      <c r="J50" s="214"/>
      <c r="K50" s="214"/>
      <c r="L50" s="214">
        <v>400</v>
      </c>
      <c r="M50" s="214"/>
      <c r="N50" s="216">
        <f t="shared" si="7"/>
        <v>400</v>
      </c>
      <c r="O50" s="194"/>
    </row>
    <row r="51" spans="1:15" s="212" customFormat="1" ht="23.1" customHeight="1" x14ac:dyDescent="0.25">
      <c r="A51" s="211">
        <v>20</v>
      </c>
      <c r="B51" s="193" t="s">
        <v>756</v>
      </c>
      <c r="C51" s="198"/>
      <c r="D51" s="198"/>
      <c r="E51" s="198"/>
      <c r="F51" s="198"/>
      <c r="G51" s="198"/>
      <c r="H51" s="194"/>
      <c r="I51" s="194"/>
      <c r="J51" s="214"/>
      <c r="K51" s="214"/>
      <c r="L51" s="214">
        <v>150</v>
      </c>
      <c r="M51" s="214"/>
      <c r="N51" s="216">
        <f t="shared" si="7"/>
        <v>150</v>
      </c>
      <c r="O51" s="194"/>
    </row>
    <row r="52" spans="1:15" s="212" customFormat="1" ht="23.1" customHeight="1" x14ac:dyDescent="0.25">
      <c r="A52" s="211">
        <v>21</v>
      </c>
      <c r="B52" s="193" t="s">
        <v>770</v>
      </c>
      <c r="C52" s="198"/>
      <c r="D52" s="198"/>
      <c r="E52" s="198"/>
      <c r="F52" s="198"/>
      <c r="G52" s="198"/>
      <c r="H52" s="194"/>
      <c r="I52" s="194"/>
      <c r="J52" s="214"/>
      <c r="K52" s="214"/>
      <c r="L52" s="214">
        <v>40</v>
      </c>
      <c r="M52" s="214"/>
      <c r="N52" s="216">
        <f t="shared" si="7"/>
        <v>40</v>
      </c>
      <c r="O52" s="194"/>
    </row>
    <row r="53" spans="1:15" s="212" customFormat="1" ht="23.1" customHeight="1" x14ac:dyDescent="0.25">
      <c r="A53" s="211">
        <v>22</v>
      </c>
      <c r="B53" s="193" t="s">
        <v>757</v>
      </c>
      <c r="C53" s="198"/>
      <c r="D53" s="198"/>
      <c r="E53" s="198"/>
      <c r="F53" s="198"/>
      <c r="G53" s="198"/>
      <c r="H53" s="194"/>
      <c r="I53" s="194"/>
      <c r="J53" s="214"/>
      <c r="K53" s="214"/>
      <c r="L53" s="214">
        <v>40</v>
      </c>
      <c r="M53" s="214"/>
      <c r="N53" s="216">
        <f t="shared" si="7"/>
        <v>40</v>
      </c>
      <c r="O53" s="194"/>
    </row>
    <row r="54" spans="1:15" s="212" customFormat="1" ht="23.1" customHeight="1" x14ac:dyDescent="0.25">
      <c r="A54" s="211">
        <v>23</v>
      </c>
      <c r="B54" s="193" t="s">
        <v>758</v>
      </c>
      <c r="C54" s="198"/>
      <c r="D54" s="198"/>
      <c r="E54" s="198"/>
      <c r="F54" s="198"/>
      <c r="G54" s="198"/>
      <c r="H54" s="194"/>
      <c r="I54" s="194"/>
      <c r="J54" s="214"/>
      <c r="K54" s="214"/>
      <c r="L54" s="214">
        <v>40</v>
      </c>
      <c r="M54" s="214"/>
      <c r="N54" s="216">
        <f t="shared" si="7"/>
        <v>40</v>
      </c>
      <c r="O54" s="194"/>
    </row>
    <row r="55" spans="1:15" s="212" customFormat="1" ht="23.1" customHeight="1" x14ac:dyDescent="0.25">
      <c r="A55" s="211">
        <v>24</v>
      </c>
      <c r="B55" s="193" t="s">
        <v>759</v>
      </c>
      <c r="C55" s="198"/>
      <c r="D55" s="198"/>
      <c r="E55" s="198"/>
      <c r="F55" s="198"/>
      <c r="G55" s="198"/>
      <c r="H55" s="194"/>
      <c r="I55" s="194"/>
      <c r="J55" s="214"/>
      <c r="K55" s="214"/>
      <c r="L55" s="214">
        <v>100</v>
      </c>
      <c r="M55" s="214"/>
      <c r="N55" s="216">
        <f t="shared" si="7"/>
        <v>100</v>
      </c>
      <c r="O55" s="194"/>
    </row>
    <row r="56" spans="1:15" s="212" customFormat="1" ht="23.1" customHeight="1" x14ac:dyDescent="0.25">
      <c r="A56" s="211">
        <v>25</v>
      </c>
      <c r="B56" s="193" t="s">
        <v>615</v>
      </c>
      <c r="C56" s="198"/>
      <c r="D56" s="198"/>
      <c r="E56" s="198"/>
      <c r="F56" s="198"/>
      <c r="G56" s="198"/>
      <c r="H56" s="194"/>
      <c r="I56" s="194"/>
      <c r="J56" s="214"/>
      <c r="K56" s="214"/>
      <c r="L56" s="214">
        <v>30</v>
      </c>
      <c r="M56" s="214"/>
      <c r="N56" s="216">
        <f t="shared" si="7"/>
        <v>30</v>
      </c>
      <c r="O56" s="194"/>
    </row>
    <row r="57" spans="1:15" s="212" customFormat="1" ht="30" x14ac:dyDescent="0.25">
      <c r="A57" s="211">
        <v>26</v>
      </c>
      <c r="B57" s="193" t="s">
        <v>760</v>
      </c>
      <c r="C57" s="198"/>
      <c r="D57" s="198"/>
      <c r="E57" s="198"/>
      <c r="F57" s="198"/>
      <c r="G57" s="198"/>
      <c r="H57" s="194"/>
      <c r="I57" s="194"/>
      <c r="J57" s="214"/>
      <c r="K57" s="214"/>
      <c r="L57" s="214">
        <v>30</v>
      </c>
      <c r="M57" s="214"/>
      <c r="N57" s="216">
        <f t="shared" si="7"/>
        <v>30</v>
      </c>
      <c r="O57" s="194"/>
    </row>
    <row r="58" spans="1:15" s="212" customFormat="1" ht="23.1" customHeight="1" x14ac:dyDescent="0.25">
      <c r="A58" s="211">
        <v>27</v>
      </c>
      <c r="B58" s="199" t="s">
        <v>761</v>
      </c>
      <c r="C58" s="198"/>
      <c r="D58" s="198"/>
      <c r="E58" s="198"/>
      <c r="F58" s="198"/>
      <c r="G58" s="198"/>
      <c r="H58" s="194"/>
      <c r="I58" s="194"/>
      <c r="J58" s="214"/>
      <c r="K58" s="214"/>
      <c r="L58" s="214">
        <v>40</v>
      </c>
      <c r="M58" s="214"/>
      <c r="N58" s="216">
        <f t="shared" si="7"/>
        <v>40</v>
      </c>
      <c r="O58" s="194"/>
    </row>
    <row r="59" spans="1:15" s="212" customFormat="1" ht="23.1" customHeight="1" x14ac:dyDescent="0.25">
      <c r="A59" s="211">
        <v>28</v>
      </c>
      <c r="B59" s="199" t="s">
        <v>631</v>
      </c>
      <c r="C59" s="198"/>
      <c r="D59" s="198"/>
      <c r="E59" s="198"/>
      <c r="F59" s="198"/>
      <c r="G59" s="198"/>
      <c r="H59" s="194"/>
      <c r="I59" s="194"/>
      <c r="J59" s="214"/>
      <c r="K59" s="214"/>
      <c r="L59" s="214">
        <v>30</v>
      </c>
      <c r="M59" s="214"/>
      <c r="N59" s="216">
        <f t="shared" si="7"/>
        <v>30</v>
      </c>
      <c r="O59" s="194"/>
    </row>
    <row r="60" spans="1:15" s="212" customFormat="1" ht="23.1" customHeight="1" x14ac:dyDescent="0.25">
      <c r="A60" s="211">
        <v>29</v>
      </c>
      <c r="B60" s="200" t="s">
        <v>762</v>
      </c>
      <c r="C60" s="198"/>
      <c r="D60" s="198"/>
      <c r="E60" s="198"/>
      <c r="F60" s="198"/>
      <c r="G60" s="198"/>
      <c r="H60" s="194"/>
      <c r="I60" s="194"/>
      <c r="J60" s="194"/>
      <c r="K60" s="194"/>
      <c r="L60" s="194">
        <v>550</v>
      </c>
      <c r="M60" s="194"/>
      <c r="N60" s="216">
        <f t="shared" si="7"/>
        <v>550</v>
      </c>
      <c r="O60" s="194"/>
    </row>
    <row r="61" spans="1:15" s="212" customFormat="1" ht="23.1" customHeight="1" x14ac:dyDescent="0.25">
      <c r="A61" s="211"/>
      <c r="B61" s="199" t="s">
        <v>580</v>
      </c>
      <c r="C61" s="198"/>
      <c r="D61" s="198"/>
      <c r="E61" s="198"/>
      <c r="F61" s="198"/>
      <c r="G61" s="198"/>
      <c r="H61" s="194"/>
      <c r="I61" s="194"/>
      <c r="J61" s="194"/>
      <c r="K61" s="194"/>
      <c r="L61" s="194">
        <v>250</v>
      </c>
      <c r="M61" s="194"/>
      <c r="N61" s="216">
        <f t="shared" si="7"/>
        <v>250</v>
      </c>
      <c r="O61" s="194"/>
    </row>
    <row r="62" spans="1:15" s="212" customFormat="1" ht="23.1" customHeight="1" x14ac:dyDescent="0.25">
      <c r="A62" s="211"/>
      <c r="B62" s="199" t="s">
        <v>348</v>
      </c>
      <c r="C62" s="198"/>
      <c r="D62" s="198"/>
      <c r="E62" s="198"/>
      <c r="F62" s="198"/>
      <c r="G62" s="198"/>
      <c r="H62" s="194"/>
      <c r="I62" s="194"/>
      <c r="J62" s="194"/>
      <c r="K62" s="194"/>
      <c r="L62" s="194">
        <v>300</v>
      </c>
      <c r="M62" s="194"/>
      <c r="N62" s="216">
        <f t="shared" si="7"/>
        <v>300</v>
      </c>
      <c r="O62" s="194"/>
    </row>
    <row r="63" spans="1:15" s="212" customFormat="1" ht="23.1" customHeight="1" x14ac:dyDescent="0.25">
      <c r="A63" s="211">
        <v>30</v>
      </c>
      <c r="B63" s="199" t="s">
        <v>763</v>
      </c>
      <c r="C63" s="198"/>
      <c r="D63" s="198"/>
      <c r="E63" s="198"/>
      <c r="F63" s="198"/>
      <c r="G63" s="198"/>
      <c r="H63" s="194"/>
      <c r="I63" s="194"/>
      <c r="J63" s="194"/>
      <c r="K63" s="194"/>
      <c r="L63" s="194">
        <v>30</v>
      </c>
      <c r="M63" s="194"/>
      <c r="N63" s="216">
        <f t="shared" si="7"/>
        <v>30</v>
      </c>
      <c r="O63" s="194"/>
    </row>
    <row r="64" spans="1:15" s="212" customFormat="1" ht="23.1" customHeight="1" x14ac:dyDescent="0.25">
      <c r="A64" s="211">
        <v>31</v>
      </c>
      <c r="B64" s="199" t="s">
        <v>616</v>
      </c>
      <c r="C64" s="198"/>
      <c r="D64" s="198"/>
      <c r="E64" s="198"/>
      <c r="F64" s="198"/>
      <c r="G64" s="198"/>
      <c r="H64" s="194"/>
      <c r="I64" s="194"/>
      <c r="J64" s="194"/>
      <c r="K64" s="194"/>
      <c r="L64" s="194">
        <v>40</v>
      </c>
      <c r="M64" s="194"/>
      <c r="N64" s="216">
        <f t="shared" si="7"/>
        <v>40</v>
      </c>
      <c r="O64" s="194"/>
    </row>
    <row r="65" spans="1:15" s="212" customFormat="1" ht="23.1" customHeight="1" x14ac:dyDescent="0.25">
      <c r="A65" s="211">
        <v>32</v>
      </c>
      <c r="B65" s="193" t="s">
        <v>764</v>
      </c>
      <c r="C65" s="198"/>
      <c r="D65" s="198"/>
      <c r="E65" s="198"/>
      <c r="F65" s="198"/>
      <c r="G65" s="198"/>
      <c r="H65" s="194"/>
      <c r="I65" s="194"/>
      <c r="J65" s="194"/>
      <c r="K65" s="194"/>
      <c r="L65" s="194">
        <v>30</v>
      </c>
      <c r="M65" s="194"/>
      <c r="N65" s="216">
        <f t="shared" si="7"/>
        <v>30</v>
      </c>
      <c r="O65" s="194"/>
    </row>
    <row r="66" spans="1:15" s="212" customFormat="1" ht="23.1" customHeight="1" x14ac:dyDescent="0.25">
      <c r="A66" s="211">
        <v>33</v>
      </c>
      <c r="B66" s="193" t="s">
        <v>765</v>
      </c>
      <c r="C66" s="198"/>
      <c r="D66" s="198"/>
      <c r="E66" s="198"/>
      <c r="F66" s="198"/>
      <c r="G66" s="198"/>
      <c r="H66" s="194"/>
      <c r="I66" s="194"/>
      <c r="J66" s="194"/>
      <c r="K66" s="194"/>
      <c r="L66" s="194">
        <v>30</v>
      </c>
      <c r="M66" s="194"/>
      <c r="N66" s="216">
        <f t="shared" si="7"/>
        <v>30</v>
      </c>
      <c r="O66" s="194"/>
    </row>
    <row r="67" spans="1:15" s="212" customFormat="1" ht="35.25" customHeight="1" x14ac:dyDescent="0.25">
      <c r="A67" s="211">
        <v>34</v>
      </c>
      <c r="B67" s="199" t="s">
        <v>766</v>
      </c>
      <c r="C67" s="198"/>
      <c r="D67" s="198"/>
      <c r="E67" s="198"/>
      <c r="F67" s="198"/>
      <c r="G67" s="198"/>
      <c r="H67" s="194"/>
      <c r="I67" s="194"/>
      <c r="J67" s="194"/>
      <c r="K67" s="194"/>
      <c r="L67" s="214">
        <v>400</v>
      </c>
      <c r="M67" s="214"/>
      <c r="N67" s="216">
        <f t="shared" si="7"/>
        <v>400</v>
      </c>
      <c r="O67" s="194"/>
    </row>
    <row r="68" spans="1:15" s="212" customFormat="1" ht="23.1" customHeight="1" x14ac:dyDescent="0.25">
      <c r="A68" s="211">
        <v>35</v>
      </c>
      <c r="B68" s="193" t="s">
        <v>767</v>
      </c>
      <c r="C68" s="198"/>
      <c r="D68" s="198"/>
      <c r="E68" s="198"/>
      <c r="F68" s="198"/>
      <c r="G68" s="198"/>
      <c r="H68" s="194"/>
      <c r="I68" s="194"/>
      <c r="J68" s="194"/>
      <c r="K68" s="194"/>
      <c r="L68" s="214">
        <v>300</v>
      </c>
      <c r="M68" s="214"/>
      <c r="N68" s="216">
        <f t="shared" si="7"/>
        <v>300</v>
      </c>
      <c r="O68" s="194"/>
    </row>
    <row r="69" spans="1:15" s="212" customFormat="1" ht="23.1" customHeight="1" x14ac:dyDescent="0.25">
      <c r="A69" s="211">
        <v>36</v>
      </c>
      <c r="B69" s="193" t="s">
        <v>768</v>
      </c>
      <c r="C69" s="198"/>
      <c r="D69" s="198"/>
      <c r="E69" s="198"/>
      <c r="F69" s="198"/>
      <c r="G69" s="198"/>
      <c r="H69" s="194"/>
      <c r="I69" s="194"/>
      <c r="J69" s="194"/>
      <c r="K69" s="194"/>
      <c r="L69" s="214">
        <v>100</v>
      </c>
      <c r="M69" s="214"/>
      <c r="N69" s="216">
        <f t="shared" si="7"/>
        <v>100</v>
      </c>
      <c r="O69" s="194"/>
    </row>
    <row r="70" spans="1:15" s="212" customFormat="1" ht="23.1" customHeight="1" x14ac:dyDescent="0.25">
      <c r="A70" s="211">
        <v>37</v>
      </c>
      <c r="B70" s="193" t="s">
        <v>769</v>
      </c>
      <c r="C70" s="198"/>
      <c r="D70" s="198"/>
      <c r="E70" s="198"/>
      <c r="F70" s="198"/>
      <c r="G70" s="198"/>
      <c r="H70" s="194"/>
      <c r="I70" s="194"/>
      <c r="J70" s="194"/>
      <c r="K70" s="194"/>
      <c r="L70" s="214">
        <v>300</v>
      </c>
      <c r="M70" s="214"/>
      <c r="N70" s="216">
        <f t="shared" si="7"/>
        <v>300</v>
      </c>
      <c r="O70" s="194"/>
    </row>
    <row r="71" spans="1:15" s="212" customFormat="1" ht="23.1" customHeight="1" x14ac:dyDescent="0.25">
      <c r="A71" s="211">
        <v>38</v>
      </c>
      <c r="B71" s="193" t="s">
        <v>771</v>
      </c>
      <c r="C71" s="198"/>
      <c r="D71" s="198"/>
      <c r="E71" s="198"/>
      <c r="F71" s="198"/>
      <c r="G71" s="198"/>
      <c r="H71" s="194"/>
      <c r="I71" s="194"/>
      <c r="J71" s="194"/>
      <c r="K71" s="194"/>
      <c r="L71" s="214">
        <v>40</v>
      </c>
      <c r="M71" s="214"/>
      <c r="N71" s="216">
        <f t="shared" si="7"/>
        <v>40</v>
      </c>
      <c r="O71" s="194"/>
    </row>
    <row r="72" spans="1:15" s="212" customFormat="1" ht="23.1" customHeight="1" x14ac:dyDescent="0.25">
      <c r="A72" s="211">
        <v>39</v>
      </c>
      <c r="B72" s="193" t="s">
        <v>692</v>
      </c>
      <c r="C72" s="198"/>
      <c r="D72" s="198"/>
      <c r="E72" s="198"/>
      <c r="F72" s="198"/>
      <c r="G72" s="198"/>
      <c r="H72" s="194"/>
      <c r="I72" s="194"/>
      <c r="J72" s="194"/>
      <c r="K72" s="194"/>
      <c r="L72" s="214">
        <v>40</v>
      </c>
      <c r="M72" s="214"/>
      <c r="N72" s="216">
        <f t="shared" si="7"/>
        <v>40</v>
      </c>
      <c r="O72" s="194"/>
    </row>
    <row r="73" spans="1:15" s="212" customFormat="1" ht="23.1" customHeight="1" x14ac:dyDescent="0.25">
      <c r="A73" s="211">
        <v>40</v>
      </c>
      <c r="B73" s="193" t="s">
        <v>772</v>
      </c>
      <c r="C73" s="198"/>
      <c r="D73" s="198"/>
      <c r="E73" s="198"/>
      <c r="F73" s="198"/>
      <c r="G73" s="198"/>
      <c r="H73" s="194"/>
      <c r="I73" s="194"/>
      <c r="J73" s="194"/>
      <c r="K73" s="194"/>
      <c r="L73" s="214">
        <v>150</v>
      </c>
      <c r="M73" s="214"/>
      <c r="N73" s="216">
        <f t="shared" si="7"/>
        <v>150</v>
      </c>
      <c r="O73" s="194"/>
    </row>
    <row r="74" spans="1:15" s="212" customFormat="1" ht="23.1" customHeight="1" x14ac:dyDescent="0.25">
      <c r="A74" s="211">
        <v>41</v>
      </c>
      <c r="B74" s="193" t="s">
        <v>698</v>
      </c>
      <c r="C74" s="198"/>
      <c r="D74" s="198"/>
      <c r="E74" s="198"/>
      <c r="F74" s="198"/>
      <c r="G74" s="198"/>
      <c r="H74" s="194"/>
      <c r="I74" s="194"/>
      <c r="J74" s="194"/>
      <c r="K74" s="194"/>
      <c r="L74" s="214">
        <v>30</v>
      </c>
      <c r="M74" s="214"/>
      <c r="N74" s="216">
        <f t="shared" si="7"/>
        <v>30</v>
      </c>
      <c r="O74" s="194"/>
    </row>
    <row r="75" spans="1:15" s="212" customFormat="1" ht="23.1" customHeight="1" x14ac:dyDescent="0.25">
      <c r="A75" s="211">
        <v>42</v>
      </c>
      <c r="B75" s="193" t="s">
        <v>704</v>
      </c>
      <c r="C75" s="198"/>
      <c r="D75" s="198"/>
      <c r="E75" s="198"/>
      <c r="F75" s="198"/>
      <c r="G75" s="198"/>
      <c r="H75" s="194"/>
      <c r="I75" s="194"/>
      <c r="J75" s="194"/>
      <c r="K75" s="194"/>
      <c r="L75" s="214">
        <v>30</v>
      </c>
      <c r="M75" s="214"/>
      <c r="N75" s="216">
        <f t="shared" si="7"/>
        <v>30</v>
      </c>
      <c r="O75" s="194"/>
    </row>
    <row r="76" spans="1:15" s="212" customFormat="1" ht="23.1" customHeight="1" x14ac:dyDescent="0.25">
      <c r="A76" s="211">
        <v>43</v>
      </c>
      <c r="B76" s="193" t="s">
        <v>773</v>
      </c>
      <c r="C76" s="198"/>
      <c r="D76" s="198"/>
      <c r="E76" s="198"/>
      <c r="F76" s="198"/>
      <c r="G76" s="198"/>
      <c r="H76" s="194"/>
      <c r="I76" s="194"/>
      <c r="J76" s="194"/>
      <c r="K76" s="194"/>
      <c r="L76" s="194"/>
      <c r="M76" s="194"/>
      <c r="N76" s="194"/>
      <c r="O76" s="194"/>
    </row>
    <row r="77" spans="1:15" s="212" customFormat="1" ht="23.1" customHeight="1" x14ac:dyDescent="0.25">
      <c r="A77" s="211">
        <v>44</v>
      </c>
      <c r="B77" s="193" t="s">
        <v>774</v>
      </c>
      <c r="C77" s="198"/>
      <c r="D77" s="198"/>
      <c r="E77" s="198"/>
      <c r="F77" s="198"/>
      <c r="G77" s="198"/>
      <c r="H77" s="194"/>
      <c r="I77" s="194"/>
      <c r="J77" s="194"/>
      <c r="K77" s="194"/>
      <c r="L77" s="194"/>
      <c r="M77" s="194"/>
      <c r="N77" s="194"/>
      <c r="O77" s="194"/>
    </row>
    <row r="78" spans="1:15" s="212" customFormat="1" ht="23.1" customHeight="1" x14ac:dyDescent="0.25">
      <c r="A78" s="211">
        <v>45</v>
      </c>
      <c r="B78" s="193" t="s">
        <v>775</v>
      </c>
      <c r="C78" s="198"/>
      <c r="D78" s="198"/>
      <c r="E78" s="198"/>
      <c r="F78" s="198"/>
      <c r="G78" s="198"/>
      <c r="H78" s="194"/>
      <c r="I78" s="194"/>
      <c r="J78" s="194"/>
      <c r="K78" s="194"/>
      <c r="L78" s="194"/>
      <c r="M78" s="194"/>
      <c r="N78" s="194"/>
      <c r="O78" s="194"/>
    </row>
    <row r="79" spans="1:15" s="212" customFormat="1" ht="23.1" customHeight="1" x14ac:dyDescent="0.25">
      <c r="A79" s="211">
        <v>46</v>
      </c>
      <c r="B79" s="193" t="s">
        <v>776</v>
      </c>
      <c r="C79" s="198"/>
      <c r="D79" s="198"/>
      <c r="E79" s="198"/>
      <c r="F79" s="198"/>
      <c r="G79" s="198"/>
      <c r="H79" s="194"/>
      <c r="I79" s="194"/>
      <c r="J79" s="194"/>
      <c r="K79" s="194"/>
      <c r="L79" s="194"/>
      <c r="M79" s="194"/>
      <c r="N79" s="194"/>
      <c r="O79" s="194"/>
    </row>
    <row r="80" spans="1:15" s="212" customFormat="1" ht="23.1" customHeight="1" x14ac:dyDescent="0.25">
      <c r="A80" s="211">
        <v>47</v>
      </c>
      <c r="B80" s="193" t="s">
        <v>777</v>
      </c>
      <c r="C80" s="198"/>
      <c r="D80" s="198"/>
      <c r="E80" s="198"/>
      <c r="F80" s="198"/>
      <c r="G80" s="198"/>
      <c r="H80" s="194"/>
      <c r="I80" s="194"/>
      <c r="J80" s="194"/>
      <c r="K80" s="194"/>
      <c r="L80" s="216">
        <v>150</v>
      </c>
      <c r="M80" s="216"/>
      <c r="N80" s="216">
        <f t="shared" ref="N80:N86" si="8">E80+L80+M80</f>
        <v>150</v>
      </c>
      <c r="O80" s="194"/>
    </row>
    <row r="81" spans="1:15" s="212" customFormat="1" ht="23.1" customHeight="1" x14ac:dyDescent="0.25">
      <c r="A81" s="211">
        <v>48</v>
      </c>
      <c r="B81" s="193" t="s">
        <v>778</v>
      </c>
      <c r="C81" s="198"/>
      <c r="D81" s="198"/>
      <c r="E81" s="198"/>
      <c r="F81" s="198"/>
      <c r="G81" s="198"/>
      <c r="H81" s="194"/>
      <c r="I81" s="194"/>
      <c r="J81" s="194"/>
      <c r="K81" s="194"/>
      <c r="L81" s="216">
        <v>300</v>
      </c>
      <c r="M81" s="216"/>
      <c r="N81" s="216">
        <f t="shared" si="8"/>
        <v>300</v>
      </c>
      <c r="O81" s="194"/>
    </row>
    <row r="82" spans="1:15" s="212" customFormat="1" ht="23.1" customHeight="1" x14ac:dyDescent="0.25">
      <c r="A82" s="211">
        <v>49</v>
      </c>
      <c r="B82" s="193" t="s">
        <v>779</v>
      </c>
      <c r="C82" s="198"/>
      <c r="D82" s="198"/>
      <c r="E82" s="198"/>
      <c r="F82" s="198"/>
      <c r="G82" s="198"/>
      <c r="H82" s="194"/>
      <c r="I82" s="194"/>
      <c r="J82" s="194"/>
      <c r="K82" s="194"/>
      <c r="L82" s="216">
        <v>150</v>
      </c>
      <c r="M82" s="216"/>
      <c r="N82" s="216">
        <f t="shared" si="8"/>
        <v>150</v>
      </c>
      <c r="O82" s="194"/>
    </row>
    <row r="83" spans="1:15" s="212" customFormat="1" ht="23.1" customHeight="1" x14ac:dyDescent="0.25">
      <c r="A83" s="211">
        <v>50</v>
      </c>
      <c r="B83" s="193" t="s">
        <v>780</v>
      </c>
      <c r="C83" s="214"/>
      <c r="D83" s="214"/>
      <c r="E83" s="198"/>
      <c r="F83" s="198"/>
      <c r="G83" s="198"/>
      <c r="H83" s="194"/>
      <c r="I83" s="194"/>
      <c r="J83" s="194"/>
      <c r="K83" s="194"/>
      <c r="L83" s="216">
        <v>3590</v>
      </c>
      <c r="M83" s="216"/>
      <c r="N83" s="216">
        <f t="shared" si="8"/>
        <v>3590</v>
      </c>
      <c r="O83" s="194"/>
    </row>
    <row r="84" spans="1:15" s="212" customFormat="1" ht="23.1" customHeight="1" x14ac:dyDescent="0.25">
      <c r="A84" s="211">
        <v>51</v>
      </c>
      <c r="B84" s="199" t="s">
        <v>781</v>
      </c>
      <c r="C84" s="214"/>
      <c r="D84" s="214"/>
      <c r="E84" s="198"/>
      <c r="F84" s="198"/>
      <c r="G84" s="198"/>
      <c r="H84" s="194"/>
      <c r="I84" s="194"/>
      <c r="J84" s="194"/>
      <c r="K84" s="194"/>
      <c r="L84" s="216">
        <v>360</v>
      </c>
      <c r="M84" s="216"/>
      <c r="N84" s="216">
        <f t="shared" si="8"/>
        <v>360</v>
      </c>
      <c r="O84" s="194"/>
    </row>
    <row r="85" spans="1:15" s="212" customFormat="1" ht="23.1" customHeight="1" x14ac:dyDescent="0.25">
      <c r="A85" s="211">
        <v>52</v>
      </c>
      <c r="B85" s="193" t="s">
        <v>782</v>
      </c>
      <c r="C85" s="214"/>
      <c r="D85" s="214"/>
      <c r="E85" s="198"/>
      <c r="F85" s="198"/>
      <c r="G85" s="198"/>
      <c r="H85" s="194"/>
      <c r="I85" s="194"/>
      <c r="J85" s="194"/>
      <c r="K85" s="194"/>
      <c r="L85" s="216">
        <v>3000</v>
      </c>
      <c r="M85" s="216"/>
      <c r="N85" s="216">
        <f t="shared" si="8"/>
        <v>3000</v>
      </c>
      <c r="O85" s="194"/>
    </row>
    <row r="86" spans="1:15" s="212" customFormat="1" ht="23.1" customHeight="1" x14ac:dyDescent="0.25">
      <c r="A86" s="211">
        <v>52</v>
      </c>
      <c r="B86" s="193" t="s">
        <v>783</v>
      </c>
      <c r="C86" s="214"/>
      <c r="D86" s="214"/>
      <c r="E86" s="198"/>
      <c r="F86" s="198"/>
      <c r="G86" s="198"/>
      <c r="H86" s="194"/>
      <c r="I86" s="194"/>
      <c r="J86" s="194"/>
      <c r="K86" s="194"/>
      <c r="L86" s="216">
        <v>3000</v>
      </c>
      <c r="M86" s="216"/>
      <c r="N86" s="216">
        <f t="shared" si="8"/>
        <v>3000</v>
      </c>
      <c r="O86" s="194"/>
    </row>
    <row r="87" spans="1:15" ht="14.25" customHeight="1" x14ac:dyDescent="0.25">
      <c r="A87" s="205"/>
      <c r="B87" s="205"/>
      <c r="C87" s="205"/>
      <c r="D87" s="205"/>
      <c r="E87" s="205"/>
      <c r="F87" s="205"/>
      <c r="G87" s="205"/>
      <c r="H87" s="205"/>
      <c r="I87" s="205"/>
      <c r="J87" s="205"/>
      <c r="K87" s="205"/>
      <c r="L87" s="205"/>
      <c r="M87" s="205"/>
      <c r="N87" s="205"/>
      <c r="O87" s="205"/>
    </row>
    <row r="88" spans="1:15" s="217" customFormat="1" ht="18.75" x14ac:dyDescent="0.3">
      <c r="H88" s="254" t="s">
        <v>604</v>
      </c>
      <c r="I88" s="254"/>
      <c r="J88" s="254"/>
      <c r="K88" s="254"/>
      <c r="L88" s="254"/>
      <c r="M88" s="254"/>
      <c r="N88" s="254"/>
      <c r="O88" s="254"/>
    </row>
  </sheetData>
  <mergeCells count="14">
    <mergeCell ref="A1:O1"/>
    <mergeCell ref="A2:O2"/>
    <mergeCell ref="A3:O3"/>
    <mergeCell ref="M4:O4"/>
    <mergeCell ref="H88:O88"/>
    <mergeCell ref="A5:A6"/>
    <mergeCell ref="B5:B6"/>
    <mergeCell ref="C5:D5"/>
    <mergeCell ref="E5:E6"/>
    <mergeCell ref="F5:K5"/>
    <mergeCell ref="L5:L6"/>
    <mergeCell ref="M5:M6"/>
    <mergeCell ref="N5:N6"/>
    <mergeCell ref="O5:O6"/>
  </mergeCells>
  <phoneticPr fontId="2" type="noConversion"/>
  <printOptions horizontalCentered="1"/>
  <pageMargins left="0" right="0" top="0.8" bottom="0.7" header="0.5" footer="0.2"/>
  <pageSetup paperSize="9" scale="95" orientation="landscape" r:id="rId1"/>
  <headerFooter alignWithMargins="0">
    <oddFooter>&amp;C&amp;P/5 (PL05)</oddFooter>
  </headerFooter>
  <ignoredErrors>
    <ignoredError sqref="N1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3"/>
  <sheetViews>
    <sheetView topLeftCell="A16" workbookViewId="0">
      <selection activeCell="K5" sqref="K5"/>
    </sheetView>
  </sheetViews>
  <sheetFormatPr defaultRowHeight="15.75" x14ac:dyDescent="0.25"/>
  <cols>
    <col min="1" max="1" width="4.25" style="83" customWidth="1"/>
    <col min="2" max="2" width="14.375" style="83" customWidth="1"/>
    <col min="3" max="3" width="9.5" style="83" customWidth="1"/>
    <col min="4" max="4" width="8.375" style="83" customWidth="1"/>
    <col min="5" max="5" width="8" style="83" customWidth="1"/>
    <col min="6" max="9" width="8.375" style="83" customWidth="1"/>
    <col min="10" max="10" width="7.75" style="83" customWidth="1"/>
    <col min="11" max="11" width="8.375" style="83" customWidth="1"/>
    <col min="12" max="12" width="9.875" style="83" customWidth="1"/>
    <col min="13" max="14" width="8.375" style="83" customWidth="1"/>
    <col min="15" max="15" width="9.375" style="83" customWidth="1"/>
    <col min="16" max="249" width="8.75" style="83"/>
    <col min="250" max="250" width="4.25" style="83" customWidth="1"/>
    <col min="251" max="251" width="15" style="83" customWidth="1"/>
    <col min="252" max="252" width="9.5" style="83" customWidth="1"/>
    <col min="253" max="253" width="8.375" style="83" customWidth="1"/>
    <col min="254" max="254" width="8" style="83" customWidth="1"/>
    <col min="255" max="258" width="8.375" style="83" customWidth="1"/>
    <col min="259" max="259" width="7.75" style="83" customWidth="1"/>
    <col min="260" max="260" width="8.375" style="83" customWidth="1"/>
    <col min="261" max="261" width="9.875" style="83" customWidth="1"/>
    <col min="262" max="264" width="8.375" style="83" customWidth="1"/>
    <col min="265" max="505" width="8.75" style="83"/>
    <col min="506" max="506" width="4.25" style="83" customWidth="1"/>
    <col min="507" max="507" width="15" style="83" customWidth="1"/>
    <col min="508" max="508" width="9.5" style="83" customWidth="1"/>
    <col min="509" max="509" width="8.375" style="83" customWidth="1"/>
    <col min="510" max="510" width="8" style="83" customWidth="1"/>
    <col min="511" max="514" width="8.375" style="83" customWidth="1"/>
    <col min="515" max="515" width="7.75" style="83" customWidth="1"/>
    <col min="516" max="516" width="8.375" style="83" customWidth="1"/>
    <col min="517" max="517" width="9.875" style="83" customWidth="1"/>
    <col min="518" max="520" width="8.375" style="83" customWidth="1"/>
    <col min="521" max="761" width="8.75" style="83"/>
    <col min="762" max="762" width="4.25" style="83" customWidth="1"/>
    <col min="763" max="763" width="15" style="83" customWidth="1"/>
    <col min="764" max="764" width="9.5" style="83" customWidth="1"/>
    <col min="765" max="765" width="8.375" style="83" customWidth="1"/>
    <col min="766" max="766" width="8" style="83" customWidth="1"/>
    <col min="767" max="770" width="8.375" style="83" customWidth="1"/>
    <col min="771" max="771" width="7.75" style="83" customWidth="1"/>
    <col min="772" max="772" width="8.375" style="83" customWidth="1"/>
    <col min="773" max="773" width="9.875" style="83" customWidth="1"/>
    <col min="774" max="776" width="8.375" style="83" customWidth="1"/>
    <col min="777" max="1017" width="8.75" style="83"/>
    <col min="1018" max="1018" width="4.25" style="83" customWidth="1"/>
    <col min="1019" max="1019" width="15" style="83" customWidth="1"/>
    <col min="1020" max="1020" width="9.5" style="83" customWidth="1"/>
    <col min="1021" max="1021" width="8.375" style="83" customWidth="1"/>
    <col min="1022" max="1022" width="8" style="83" customWidth="1"/>
    <col min="1023" max="1026" width="8.375" style="83" customWidth="1"/>
    <col min="1027" max="1027" width="7.75" style="83" customWidth="1"/>
    <col min="1028" max="1028" width="8.375" style="83" customWidth="1"/>
    <col min="1029" max="1029" width="9.875" style="83" customWidth="1"/>
    <col min="1030" max="1032" width="8.375" style="83" customWidth="1"/>
    <col min="1033" max="1273" width="8.75" style="83"/>
    <col min="1274" max="1274" width="4.25" style="83" customWidth="1"/>
    <col min="1275" max="1275" width="15" style="83" customWidth="1"/>
    <col min="1276" max="1276" width="9.5" style="83" customWidth="1"/>
    <col min="1277" max="1277" width="8.375" style="83" customWidth="1"/>
    <col min="1278" max="1278" width="8" style="83" customWidth="1"/>
    <col min="1279" max="1282" width="8.375" style="83" customWidth="1"/>
    <col min="1283" max="1283" width="7.75" style="83" customWidth="1"/>
    <col min="1284" max="1284" width="8.375" style="83" customWidth="1"/>
    <col min="1285" max="1285" width="9.875" style="83" customWidth="1"/>
    <col min="1286" max="1288" width="8.375" style="83" customWidth="1"/>
    <col min="1289" max="1529" width="8.75" style="83"/>
    <col min="1530" max="1530" width="4.25" style="83" customWidth="1"/>
    <col min="1531" max="1531" width="15" style="83" customWidth="1"/>
    <col min="1532" max="1532" width="9.5" style="83" customWidth="1"/>
    <col min="1533" max="1533" width="8.375" style="83" customWidth="1"/>
    <col min="1534" max="1534" width="8" style="83" customWidth="1"/>
    <col min="1535" max="1538" width="8.375" style="83" customWidth="1"/>
    <col min="1539" max="1539" width="7.75" style="83" customWidth="1"/>
    <col min="1540" max="1540" width="8.375" style="83" customWidth="1"/>
    <col min="1541" max="1541" width="9.875" style="83" customWidth="1"/>
    <col min="1542" max="1544" width="8.375" style="83" customWidth="1"/>
    <col min="1545" max="1785" width="8.75" style="83"/>
    <col min="1786" max="1786" width="4.25" style="83" customWidth="1"/>
    <col min="1787" max="1787" width="15" style="83" customWidth="1"/>
    <col min="1788" max="1788" width="9.5" style="83" customWidth="1"/>
    <col min="1789" max="1789" width="8.375" style="83" customWidth="1"/>
    <col min="1790" max="1790" width="8" style="83" customWidth="1"/>
    <col min="1791" max="1794" width="8.375" style="83" customWidth="1"/>
    <col min="1795" max="1795" width="7.75" style="83" customWidth="1"/>
    <col min="1796" max="1796" width="8.375" style="83" customWidth="1"/>
    <col min="1797" max="1797" width="9.875" style="83" customWidth="1"/>
    <col min="1798" max="1800" width="8.375" style="83" customWidth="1"/>
    <col min="1801" max="2041" width="8.75" style="83"/>
    <col min="2042" max="2042" width="4.25" style="83" customWidth="1"/>
    <col min="2043" max="2043" width="15" style="83" customWidth="1"/>
    <col min="2044" max="2044" width="9.5" style="83" customWidth="1"/>
    <col min="2045" max="2045" width="8.375" style="83" customWidth="1"/>
    <col min="2046" max="2046" width="8" style="83" customWidth="1"/>
    <col min="2047" max="2050" width="8.375" style="83" customWidth="1"/>
    <col min="2051" max="2051" width="7.75" style="83" customWidth="1"/>
    <col min="2052" max="2052" width="8.375" style="83" customWidth="1"/>
    <col min="2053" max="2053" width="9.875" style="83" customWidth="1"/>
    <col min="2054" max="2056" width="8.375" style="83" customWidth="1"/>
    <col min="2057" max="2297" width="8.75" style="83"/>
    <col min="2298" max="2298" width="4.25" style="83" customWidth="1"/>
    <col min="2299" max="2299" width="15" style="83" customWidth="1"/>
    <col min="2300" max="2300" width="9.5" style="83" customWidth="1"/>
    <col min="2301" max="2301" width="8.375" style="83" customWidth="1"/>
    <col min="2302" max="2302" width="8" style="83" customWidth="1"/>
    <col min="2303" max="2306" width="8.375" style="83" customWidth="1"/>
    <col min="2307" max="2307" width="7.75" style="83" customWidth="1"/>
    <col min="2308" max="2308" width="8.375" style="83" customWidth="1"/>
    <col min="2309" max="2309" width="9.875" style="83" customWidth="1"/>
    <col min="2310" max="2312" width="8.375" style="83" customWidth="1"/>
    <col min="2313" max="2553" width="8.75" style="83"/>
    <col min="2554" max="2554" width="4.25" style="83" customWidth="1"/>
    <col min="2555" max="2555" width="15" style="83" customWidth="1"/>
    <col min="2556" max="2556" width="9.5" style="83" customWidth="1"/>
    <col min="2557" max="2557" width="8.375" style="83" customWidth="1"/>
    <col min="2558" max="2558" width="8" style="83" customWidth="1"/>
    <col min="2559" max="2562" width="8.375" style="83" customWidth="1"/>
    <col min="2563" max="2563" width="7.75" style="83" customWidth="1"/>
    <col min="2564" max="2564" width="8.375" style="83" customWidth="1"/>
    <col min="2565" max="2565" width="9.875" style="83" customWidth="1"/>
    <col min="2566" max="2568" width="8.375" style="83" customWidth="1"/>
    <col min="2569" max="2809" width="8.75" style="83"/>
    <col min="2810" max="2810" width="4.25" style="83" customWidth="1"/>
    <col min="2811" max="2811" width="15" style="83" customWidth="1"/>
    <col min="2812" max="2812" width="9.5" style="83" customWidth="1"/>
    <col min="2813" max="2813" width="8.375" style="83" customWidth="1"/>
    <col min="2814" max="2814" width="8" style="83" customWidth="1"/>
    <col min="2815" max="2818" width="8.375" style="83" customWidth="1"/>
    <col min="2819" max="2819" width="7.75" style="83" customWidth="1"/>
    <col min="2820" max="2820" width="8.375" style="83" customWidth="1"/>
    <col min="2821" max="2821" width="9.875" style="83" customWidth="1"/>
    <col min="2822" max="2824" width="8.375" style="83" customWidth="1"/>
    <col min="2825" max="3065" width="8.75" style="83"/>
    <col min="3066" max="3066" width="4.25" style="83" customWidth="1"/>
    <col min="3067" max="3067" width="15" style="83" customWidth="1"/>
    <col min="3068" max="3068" width="9.5" style="83" customWidth="1"/>
    <col min="3069" max="3069" width="8.375" style="83" customWidth="1"/>
    <col min="3070" max="3070" width="8" style="83" customWidth="1"/>
    <col min="3071" max="3074" width="8.375" style="83" customWidth="1"/>
    <col min="3075" max="3075" width="7.75" style="83" customWidth="1"/>
    <col min="3076" max="3076" width="8.375" style="83" customWidth="1"/>
    <col min="3077" max="3077" width="9.875" style="83" customWidth="1"/>
    <col min="3078" max="3080" width="8.375" style="83" customWidth="1"/>
    <col min="3081" max="3321" width="8.75" style="83"/>
    <col min="3322" max="3322" width="4.25" style="83" customWidth="1"/>
    <col min="3323" max="3323" width="15" style="83" customWidth="1"/>
    <col min="3324" max="3324" width="9.5" style="83" customWidth="1"/>
    <col min="3325" max="3325" width="8.375" style="83" customWidth="1"/>
    <col min="3326" max="3326" width="8" style="83" customWidth="1"/>
    <col min="3327" max="3330" width="8.375" style="83" customWidth="1"/>
    <col min="3331" max="3331" width="7.75" style="83" customWidth="1"/>
    <col min="3332" max="3332" width="8.375" style="83" customWidth="1"/>
    <col min="3333" max="3333" width="9.875" style="83" customWidth="1"/>
    <col min="3334" max="3336" width="8.375" style="83" customWidth="1"/>
    <col min="3337" max="3577" width="8.75" style="83"/>
    <col min="3578" max="3578" width="4.25" style="83" customWidth="1"/>
    <col min="3579" max="3579" width="15" style="83" customWidth="1"/>
    <col min="3580" max="3580" width="9.5" style="83" customWidth="1"/>
    <col min="3581" max="3581" width="8.375" style="83" customWidth="1"/>
    <col min="3582" max="3582" width="8" style="83" customWidth="1"/>
    <col min="3583" max="3586" width="8.375" style="83" customWidth="1"/>
    <col min="3587" max="3587" width="7.75" style="83" customWidth="1"/>
    <col min="3588" max="3588" width="8.375" style="83" customWidth="1"/>
    <col min="3589" max="3589" width="9.875" style="83" customWidth="1"/>
    <col min="3590" max="3592" width="8.375" style="83" customWidth="1"/>
    <col min="3593" max="3833" width="8.75" style="83"/>
    <col min="3834" max="3834" width="4.25" style="83" customWidth="1"/>
    <col min="3835" max="3835" width="15" style="83" customWidth="1"/>
    <col min="3836" max="3836" width="9.5" style="83" customWidth="1"/>
    <col min="3837" max="3837" width="8.375" style="83" customWidth="1"/>
    <col min="3838" max="3838" width="8" style="83" customWidth="1"/>
    <col min="3839" max="3842" width="8.375" style="83" customWidth="1"/>
    <col min="3843" max="3843" width="7.75" style="83" customWidth="1"/>
    <col min="3844" max="3844" width="8.375" style="83" customWidth="1"/>
    <col min="3845" max="3845" width="9.875" style="83" customWidth="1"/>
    <col min="3846" max="3848" width="8.375" style="83" customWidth="1"/>
    <col min="3849" max="4089" width="8.75" style="83"/>
    <col min="4090" max="4090" width="4.25" style="83" customWidth="1"/>
    <col min="4091" max="4091" width="15" style="83" customWidth="1"/>
    <col min="4092" max="4092" width="9.5" style="83" customWidth="1"/>
    <col min="4093" max="4093" width="8.375" style="83" customWidth="1"/>
    <col min="4094" max="4094" width="8" style="83" customWidth="1"/>
    <col min="4095" max="4098" width="8.375" style="83" customWidth="1"/>
    <col min="4099" max="4099" width="7.75" style="83" customWidth="1"/>
    <col min="4100" max="4100" width="8.375" style="83" customWidth="1"/>
    <col min="4101" max="4101" width="9.875" style="83" customWidth="1"/>
    <col min="4102" max="4104" width="8.375" style="83" customWidth="1"/>
    <col min="4105" max="4345" width="8.75" style="83"/>
    <col min="4346" max="4346" width="4.25" style="83" customWidth="1"/>
    <col min="4347" max="4347" width="15" style="83" customWidth="1"/>
    <col min="4348" max="4348" width="9.5" style="83" customWidth="1"/>
    <col min="4349" max="4349" width="8.375" style="83" customWidth="1"/>
    <col min="4350" max="4350" width="8" style="83" customWidth="1"/>
    <col min="4351" max="4354" width="8.375" style="83" customWidth="1"/>
    <col min="4355" max="4355" width="7.75" style="83" customWidth="1"/>
    <col min="4356" max="4356" width="8.375" style="83" customWidth="1"/>
    <col min="4357" max="4357" width="9.875" style="83" customWidth="1"/>
    <col min="4358" max="4360" width="8.375" style="83" customWidth="1"/>
    <col min="4361" max="4601" width="8.75" style="83"/>
    <col min="4602" max="4602" width="4.25" style="83" customWidth="1"/>
    <col min="4603" max="4603" width="15" style="83" customWidth="1"/>
    <col min="4604" max="4604" width="9.5" style="83" customWidth="1"/>
    <col min="4605" max="4605" width="8.375" style="83" customWidth="1"/>
    <col min="4606" max="4606" width="8" style="83" customWidth="1"/>
    <col min="4607" max="4610" width="8.375" style="83" customWidth="1"/>
    <col min="4611" max="4611" width="7.75" style="83" customWidth="1"/>
    <col min="4612" max="4612" width="8.375" style="83" customWidth="1"/>
    <col min="4613" max="4613" width="9.875" style="83" customWidth="1"/>
    <col min="4614" max="4616" width="8.375" style="83" customWidth="1"/>
    <col min="4617" max="4857" width="8.75" style="83"/>
    <col min="4858" max="4858" width="4.25" style="83" customWidth="1"/>
    <col min="4859" max="4859" width="15" style="83" customWidth="1"/>
    <col min="4860" max="4860" width="9.5" style="83" customWidth="1"/>
    <col min="4861" max="4861" width="8.375" style="83" customWidth="1"/>
    <col min="4862" max="4862" width="8" style="83" customWidth="1"/>
    <col min="4863" max="4866" width="8.375" style="83" customWidth="1"/>
    <col min="4867" max="4867" width="7.75" style="83" customWidth="1"/>
    <col min="4868" max="4868" width="8.375" style="83" customWidth="1"/>
    <col min="4869" max="4869" width="9.875" style="83" customWidth="1"/>
    <col min="4870" max="4872" width="8.375" style="83" customWidth="1"/>
    <col min="4873" max="5113" width="8.75" style="83"/>
    <col min="5114" max="5114" width="4.25" style="83" customWidth="1"/>
    <col min="5115" max="5115" width="15" style="83" customWidth="1"/>
    <col min="5116" max="5116" width="9.5" style="83" customWidth="1"/>
    <col min="5117" max="5117" width="8.375" style="83" customWidth="1"/>
    <col min="5118" max="5118" width="8" style="83" customWidth="1"/>
    <col min="5119" max="5122" width="8.375" style="83" customWidth="1"/>
    <col min="5123" max="5123" width="7.75" style="83" customWidth="1"/>
    <col min="5124" max="5124" width="8.375" style="83" customWidth="1"/>
    <col min="5125" max="5125" width="9.875" style="83" customWidth="1"/>
    <col min="5126" max="5128" width="8.375" style="83" customWidth="1"/>
    <col min="5129" max="5369" width="8.75" style="83"/>
    <col min="5370" max="5370" width="4.25" style="83" customWidth="1"/>
    <col min="5371" max="5371" width="15" style="83" customWidth="1"/>
    <col min="5372" max="5372" width="9.5" style="83" customWidth="1"/>
    <col min="5373" max="5373" width="8.375" style="83" customWidth="1"/>
    <col min="5374" max="5374" width="8" style="83" customWidth="1"/>
    <col min="5375" max="5378" width="8.375" style="83" customWidth="1"/>
    <col min="5379" max="5379" width="7.75" style="83" customWidth="1"/>
    <col min="5380" max="5380" width="8.375" style="83" customWidth="1"/>
    <col min="5381" max="5381" width="9.875" style="83" customWidth="1"/>
    <col min="5382" max="5384" width="8.375" style="83" customWidth="1"/>
    <col min="5385" max="5625" width="8.75" style="83"/>
    <col min="5626" max="5626" width="4.25" style="83" customWidth="1"/>
    <col min="5627" max="5627" width="15" style="83" customWidth="1"/>
    <col min="5628" max="5628" width="9.5" style="83" customWidth="1"/>
    <col min="5629" max="5629" width="8.375" style="83" customWidth="1"/>
    <col min="5630" max="5630" width="8" style="83" customWidth="1"/>
    <col min="5631" max="5634" width="8.375" style="83" customWidth="1"/>
    <col min="5635" max="5635" width="7.75" style="83" customWidth="1"/>
    <col min="5636" max="5636" width="8.375" style="83" customWidth="1"/>
    <col min="5637" max="5637" width="9.875" style="83" customWidth="1"/>
    <col min="5638" max="5640" width="8.375" style="83" customWidth="1"/>
    <col min="5641" max="5881" width="8.75" style="83"/>
    <col min="5882" max="5882" width="4.25" style="83" customWidth="1"/>
    <col min="5883" max="5883" width="15" style="83" customWidth="1"/>
    <col min="5884" max="5884" width="9.5" style="83" customWidth="1"/>
    <col min="5885" max="5885" width="8.375" style="83" customWidth="1"/>
    <col min="5886" max="5886" width="8" style="83" customWidth="1"/>
    <col min="5887" max="5890" width="8.375" style="83" customWidth="1"/>
    <col min="5891" max="5891" width="7.75" style="83" customWidth="1"/>
    <col min="5892" max="5892" width="8.375" style="83" customWidth="1"/>
    <col min="5893" max="5893" width="9.875" style="83" customWidth="1"/>
    <col min="5894" max="5896" width="8.375" style="83" customWidth="1"/>
    <col min="5897" max="6137" width="8.75" style="83"/>
    <col min="6138" max="6138" width="4.25" style="83" customWidth="1"/>
    <col min="6139" max="6139" width="15" style="83" customWidth="1"/>
    <col min="6140" max="6140" width="9.5" style="83" customWidth="1"/>
    <col min="6141" max="6141" width="8.375" style="83" customWidth="1"/>
    <col min="6142" max="6142" width="8" style="83" customWidth="1"/>
    <col min="6143" max="6146" width="8.375" style="83" customWidth="1"/>
    <col min="6147" max="6147" width="7.75" style="83" customWidth="1"/>
    <col min="6148" max="6148" width="8.375" style="83" customWidth="1"/>
    <col min="6149" max="6149" width="9.875" style="83" customWidth="1"/>
    <col min="6150" max="6152" width="8.375" style="83" customWidth="1"/>
    <col min="6153" max="6393" width="8.75" style="83"/>
    <col min="6394" max="6394" width="4.25" style="83" customWidth="1"/>
    <col min="6395" max="6395" width="15" style="83" customWidth="1"/>
    <col min="6396" max="6396" width="9.5" style="83" customWidth="1"/>
    <col min="6397" max="6397" width="8.375" style="83" customWidth="1"/>
    <col min="6398" max="6398" width="8" style="83" customWidth="1"/>
    <col min="6399" max="6402" width="8.375" style="83" customWidth="1"/>
    <col min="6403" max="6403" width="7.75" style="83" customWidth="1"/>
    <col min="6404" max="6404" width="8.375" style="83" customWidth="1"/>
    <col min="6405" max="6405" width="9.875" style="83" customWidth="1"/>
    <col min="6406" max="6408" width="8.375" style="83" customWidth="1"/>
    <col min="6409" max="6649" width="8.75" style="83"/>
    <col min="6650" max="6650" width="4.25" style="83" customWidth="1"/>
    <col min="6651" max="6651" width="15" style="83" customWidth="1"/>
    <col min="6652" max="6652" width="9.5" style="83" customWidth="1"/>
    <col min="6653" max="6653" width="8.375" style="83" customWidth="1"/>
    <col min="6654" max="6654" width="8" style="83" customWidth="1"/>
    <col min="6655" max="6658" width="8.375" style="83" customWidth="1"/>
    <col min="6659" max="6659" width="7.75" style="83" customWidth="1"/>
    <col min="6660" max="6660" width="8.375" style="83" customWidth="1"/>
    <col min="6661" max="6661" width="9.875" style="83" customWidth="1"/>
    <col min="6662" max="6664" width="8.375" style="83" customWidth="1"/>
    <col min="6665" max="6905" width="8.75" style="83"/>
    <col min="6906" max="6906" width="4.25" style="83" customWidth="1"/>
    <col min="6907" max="6907" width="15" style="83" customWidth="1"/>
    <col min="6908" max="6908" width="9.5" style="83" customWidth="1"/>
    <col min="6909" max="6909" width="8.375" style="83" customWidth="1"/>
    <col min="6910" max="6910" width="8" style="83" customWidth="1"/>
    <col min="6911" max="6914" width="8.375" style="83" customWidth="1"/>
    <col min="6915" max="6915" width="7.75" style="83" customWidth="1"/>
    <col min="6916" max="6916" width="8.375" style="83" customWidth="1"/>
    <col min="6917" max="6917" width="9.875" style="83" customWidth="1"/>
    <col min="6918" max="6920" width="8.375" style="83" customWidth="1"/>
    <col min="6921" max="7161" width="8.75" style="83"/>
    <col min="7162" max="7162" width="4.25" style="83" customWidth="1"/>
    <col min="7163" max="7163" width="15" style="83" customWidth="1"/>
    <col min="7164" max="7164" width="9.5" style="83" customWidth="1"/>
    <col min="7165" max="7165" width="8.375" style="83" customWidth="1"/>
    <col min="7166" max="7166" width="8" style="83" customWidth="1"/>
    <col min="7167" max="7170" width="8.375" style="83" customWidth="1"/>
    <col min="7171" max="7171" width="7.75" style="83" customWidth="1"/>
    <col min="7172" max="7172" width="8.375" style="83" customWidth="1"/>
    <col min="7173" max="7173" width="9.875" style="83" customWidth="1"/>
    <col min="7174" max="7176" width="8.375" style="83" customWidth="1"/>
    <col min="7177" max="7417" width="8.75" style="83"/>
    <col min="7418" max="7418" width="4.25" style="83" customWidth="1"/>
    <col min="7419" max="7419" width="15" style="83" customWidth="1"/>
    <col min="7420" max="7420" width="9.5" style="83" customWidth="1"/>
    <col min="7421" max="7421" width="8.375" style="83" customWidth="1"/>
    <col min="7422" max="7422" width="8" style="83" customWidth="1"/>
    <col min="7423" max="7426" width="8.375" style="83" customWidth="1"/>
    <col min="7427" max="7427" width="7.75" style="83" customWidth="1"/>
    <col min="7428" max="7428" width="8.375" style="83" customWidth="1"/>
    <col min="7429" max="7429" width="9.875" style="83" customWidth="1"/>
    <col min="7430" max="7432" width="8.375" style="83" customWidth="1"/>
    <col min="7433" max="7673" width="8.75" style="83"/>
    <col min="7674" max="7674" width="4.25" style="83" customWidth="1"/>
    <col min="7675" max="7675" width="15" style="83" customWidth="1"/>
    <col min="7676" max="7676" width="9.5" style="83" customWidth="1"/>
    <col min="7677" max="7677" width="8.375" style="83" customWidth="1"/>
    <col min="7678" max="7678" width="8" style="83" customWidth="1"/>
    <col min="7679" max="7682" width="8.375" style="83" customWidth="1"/>
    <col min="7683" max="7683" width="7.75" style="83" customWidth="1"/>
    <col min="7684" max="7684" width="8.375" style="83" customWidth="1"/>
    <col min="7685" max="7685" width="9.875" style="83" customWidth="1"/>
    <col min="7686" max="7688" width="8.375" style="83" customWidth="1"/>
    <col min="7689" max="7929" width="8.75" style="83"/>
    <col min="7930" max="7930" width="4.25" style="83" customWidth="1"/>
    <col min="7931" max="7931" width="15" style="83" customWidth="1"/>
    <col min="7932" max="7932" width="9.5" style="83" customWidth="1"/>
    <col min="7933" max="7933" width="8.375" style="83" customWidth="1"/>
    <col min="7934" max="7934" width="8" style="83" customWidth="1"/>
    <col min="7935" max="7938" width="8.375" style="83" customWidth="1"/>
    <col min="7939" max="7939" width="7.75" style="83" customWidth="1"/>
    <col min="7940" max="7940" width="8.375" style="83" customWidth="1"/>
    <col min="7941" max="7941" width="9.875" style="83" customWidth="1"/>
    <col min="7942" max="7944" width="8.375" style="83" customWidth="1"/>
    <col min="7945" max="8185" width="8.75" style="83"/>
    <col min="8186" max="8186" width="4.25" style="83" customWidth="1"/>
    <col min="8187" max="8187" width="15" style="83" customWidth="1"/>
    <col min="8188" max="8188" width="9.5" style="83" customWidth="1"/>
    <col min="8189" max="8189" width="8.375" style="83" customWidth="1"/>
    <col min="8190" max="8190" width="8" style="83" customWidth="1"/>
    <col min="8191" max="8194" width="8.375" style="83" customWidth="1"/>
    <col min="8195" max="8195" width="7.75" style="83" customWidth="1"/>
    <col min="8196" max="8196" width="8.375" style="83" customWidth="1"/>
    <col min="8197" max="8197" width="9.875" style="83" customWidth="1"/>
    <col min="8198" max="8200" width="8.375" style="83" customWidth="1"/>
    <col min="8201" max="8441" width="8.75" style="83"/>
    <col min="8442" max="8442" width="4.25" style="83" customWidth="1"/>
    <col min="8443" max="8443" width="15" style="83" customWidth="1"/>
    <col min="8444" max="8444" width="9.5" style="83" customWidth="1"/>
    <col min="8445" max="8445" width="8.375" style="83" customWidth="1"/>
    <col min="8446" max="8446" width="8" style="83" customWidth="1"/>
    <col min="8447" max="8450" width="8.375" style="83" customWidth="1"/>
    <col min="8451" max="8451" width="7.75" style="83" customWidth="1"/>
    <col min="8452" max="8452" width="8.375" style="83" customWidth="1"/>
    <col min="8453" max="8453" width="9.875" style="83" customWidth="1"/>
    <col min="8454" max="8456" width="8.375" style="83" customWidth="1"/>
    <col min="8457" max="8697" width="8.75" style="83"/>
    <col min="8698" max="8698" width="4.25" style="83" customWidth="1"/>
    <col min="8699" max="8699" width="15" style="83" customWidth="1"/>
    <col min="8700" max="8700" width="9.5" style="83" customWidth="1"/>
    <col min="8701" max="8701" width="8.375" style="83" customWidth="1"/>
    <col min="8702" max="8702" width="8" style="83" customWidth="1"/>
    <col min="8703" max="8706" width="8.375" style="83" customWidth="1"/>
    <col min="8707" max="8707" width="7.75" style="83" customWidth="1"/>
    <col min="8708" max="8708" width="8.375" style="83" customWidth="1"/>
    <col min="8709" max="8709" width="9.875" style="83" customWidth="1"/>
    <col min="8710" max="8712" width="8.375" style="83" customWidth="1"/>
    <col min="8713" max="8953" width="8.75" style="83"/>
    <col min="8954" max="8954" width="4.25" style="83" customWidth="1"/>
    <col min="8955" max="8955" width="15" style="83" customWidth="1"/>
    <col min="8956" max="8956" width="9.5" style="83" customWidth="1"/>
    <col min="8957" max="8957" width="8.375" style="83" customWidth="1"/>
    <col min="8958" max="8958" width="8" style="83" customWidth="1"/>
    <col min="8959" max="8962" width="8.375" style="83" customWidth="1"/>
    <col min="8963" max="8963" width="7.75" style="83" customWidth="1"/>
    <col min="8964" max="8964" width="8.375" style="83" customWidth="1"/>
    <col min="8965" max="8965" width="9.875" style="83" customWidth="1"/>
    <col min="8966" max="8968" width="8.375" style="83" customWidth="1"/>
    <col min="8969" max="9209" width="8.75" style="83"/>
    <col min="9210" max="9210" width="4.25" style="83" customWidth="1"/>
    <col min="9211" max="9211" width="15" style="83" customWidth="1"/>
    <col min="9212" max="9212" width="9.5" style="83" customWidth="1"/>
    <col min="9213" max="9213" width="8.375" style="83" customWidth="1"/>
    <col min="9214" max="9214" width="8" style="83" customWidth="1"/>
    <col min="9215" max="9218" width="8.375" style="83" customWidth="1"/>
    <col min="9219" max="9219" width="7.75" style="83" customWidth="1"/>
    <col min="9220" max="9220" width="8.375" style="83" customWidth="1"/>
    <col min="9221" max="9221" width="9.875" style="83" customWidth="1"/>
    <col min="9222" max="9224" width="8.375" style="83" customWidth="1"/>
    <col min="9225" max="9465" width="8.75" style="83"/>
    <col min="9466" max="9466" width="4.25" style="83" customWidth="1"/>
    <col min="9467" max="9467" width="15" style="83" customWidth="1"/>
    <col min="9468" max="9468" width="9.5" style="83" customWidth="1"/>
    <col min="9469" max="9469" width="8.375" style="83" customWidth="1"/>
    <col min="9470" max="9470" width="8" style="83" customWidth="1"/>
    <col min="9471" max="9474" width="8.375" style="83" customWidth="1"/>
    <col min="9475" max="9475" width="7.75" style="83" customWidth="1"/>
    <col min="9476" max="9476" width="8.375" style="83" customWidth="1"/>
    <col min="9477" max="9477" width="9.875" style="83" customWidth="1"/>
    <col min="9478" max="9480" width="8.375" style="83" customWidth="1"/>
    <col min="9481" max="9721" width="8.75" style="83"/>
    <col min="9722" max="9722" width="4.25" style="83" customWidth="1"/>
    <col min="9723" max="9723" width="15" style="83" customWidth="1"/>
    <col min="9724" max="9724" width="9.5" style="83" customWidth="1"/>
    <col min="9725" max="9725" width="8.375" style="83" customWidth="1"/>
    <col min="9726" max="9726" width="8" style="83" customWidth="1"/>
    <col min="9727" max="9730" width="8.375" style="83" customWidth="1"/>
    <col min="9731" max="9731" width="7.75" style="83" customWidth="1"/>
    <col min="9732" max="9732" width="8.375" style="83" customWidth="1"/>
    <col min="9733" max="9733" width="9.875" style="83" customWidth="1"/>
    <col min="9734" max="9736" width="8.375" style="83" customWidth="1"/>
    <col min="9737" max="9977" width="8.75" style="83"/>
    <col min="9978" max="9978" width="4.25" style="83" customWidth="1"/>
    <col min="9979" max="9979" width="15" style="83" customWidth="1"/>
    <col min="9980" max="9980" width="9.5" style="83" customWidth="1"/>
    <col min="9981" max="9981" width="8.375" style="83" customWidth="1"/>
    <col min="9982" max="9982" width="8" style="83" customWidth="1"/>
    <col min="9983" max="9986" width="8.375" style="83" customWidth="1"/>
    <col min="9987" max="9987" width="7.75" style="83" customWidth="1"/>
    <col min="9988" max="9988" width="8.375" style="83" customWidth="1"/>
    <col min="9989" max="9989" width="9.875" style="83" customWidth="1"/>
    <col min="9990" max="9992" width="8.375" style="83" customWidth="1"/>
    <col min="9993" max="10233" width="8.75" style="83"/>
    <col min="10234" max="10234" width="4.25" style="83" customWidth="1"/>
    <col min="10235" max="10235" width="15" style="83" customWidth="1"/>
    <col min="10236" max="10236" width="9.5" style="83" customWidth="1"/>
    <col min="10237" max="10237" width="8.375" style="83" customWidth="1"/>
    <col min="10238" max="10238" width="8" style="83" customWidth="1"/>
    <col min="10239" max="10242" width="8.375" style="83" customWidth="1"/>
    <col min="10243" max="10243" width="7.75" style="83" customWidth="1"/>
    <col min="10244" max="10244" width="8.375" style="83" customWidth="1"/>
    <col min="10245" max="10245" width="9.875" style="83" customWidth="1"/>
    <col min="10246" max="10248" width="8.375" style="83" customWidth="1"/>
    <col min="10249" max="10489" width="8.75" style="83"/>
    <col min="10490" max="10490" width="4.25" style="83" customWidth="1"/>
    <col min="10491" max="10491" width="15" style="83" customWidth="1"/>
    <col min="10492" max="10492" width="9.5" style="83" customWidth="1"/>
    <col min="10493" max="10493" width="8.375" style="83" customWidth="1"/>
    <col min="10494" max="10494" width="8" style="83" customWidth="1"/>
    <col min="10495" max="10498" width="8.375" style="83" customWidth="1"/>
    <col min="10499" max="10499" width="7.75" style="83" customWidth="1"/>
    <col min="10500" max="10500" width="8.375" style="83" customWidth="1"/>
    <col min="10501" max="10501" width="9.875" style="83" customWidth="1"/>
    <col min="10502" max="10504" width="8.375" style="83" customWidth="1"/>
    <col min="10505" max="10745" width="8.75" style="83"/>
    <col min="10746" max="10746" width="4.25" style="83" customWidth="1"/>
    <col min="10747" max="10747" width="15" style="83" customWidth="1"/>
    <col min="10748" max="10748" width="9.5" style="83" customWidth="1"/>
    <col min="10749" max="10749" width="8.375" style="83" customWidth="1"/>
    <col min="10750" max="10750" width="8" style="83" customWidth="1"/>
    <col min="10751" max="10754" width="8.375" style="83" customWidth="1"/>
    <col min="10755" max="10755" width="7.75" style="83" customWidth="1"/>
    <col min="10756" max="10756" width="8.375" style="83" customWidth="1"/>
    <col min="10757" max="10757" width="9.875" style="83" customWidth="1"/>
    <col min="10758" max="10760" width="8.375" style="83" customWidth="1"/>
    <col min="10761" max="11001" width="8.75" style="83"/>
    <col min="11002" max="11002" width="4.25" style="83" customWidth="1"/>
    <col min="11003" max="11003" width="15" style="83" customWidth="1"/>
    <col min="11004" max="11004" width="9.5" style="83" customWidth="1"/>
    <col min="11005" max="11005" width="8.375" style="83" customWidth="1"/>
    <col min="11006" max="11006" width="8" style="83" customWidth="1"/>
    <col min="11007" max="11010" width="8.375" style="83" customWidth="1"/>
    <col min="11011" max="11011" width="7.75" style="83" customWidth="1"/>
    <col min="11012" max="11012" width="8.375" style="83" customWidth="1"/>
    <col min="11013" max="11013" width="9.875" style="83" customWidth="1"/>
    <col min="11014" max="11016" width="8.375" style="83" customWidth="1"/>
    <col min="11017" max="11257" width="8.75" style="83"/>
    <col min="11258" max="11258" width="4.25" style="83" customWidth="1"/>
    <col min="11259" max="11259" width="15" style="83" customWidth="1"/>
    <col min="11260" max="11260" width="9.5" style="83" customWidth="1"/>
    <col min="11261" max="11261" width="8.375" style="83" customWidth="1"/>
    <col min="11262" max="11262" width="8" style="83" customWidth="1"/>
    <col min="11263" max="11266" width="8.375" style="83" customWidth="1"/>
    <col min="11267" max="11267" width="7.75" style="83" customWidth="1"/>
    <col min="11268" max="11268" width="8.375" style="83" customWidth="1"/>
    <col min="11269" max="11269" width="9.875" style="83" customWidth="1"/>
    <col min="11270" max="11272" width="8.375" style="83" customWidth="1"/>
    <col min="11273" max="11513" width="8.75" style="83"/>
    <col min="11514" max="11514" width="4.25" style="83" customWidth="1"/>
    <col min="11515" max="11515" width="15" style="83" customWidth="1"/>
    <col min="11516" max="11516" width="9.5" style="83" customWidth="1"/>
    <col min="11517" max="11517" width="8.375" style="83" customWidth="1"/>
    <col min="11518" max="11518" width="8" style="83" customWidth="1"/>
    <col min="11519" max="11522" width="8.375" style="83" customWidth="1"/>
    <col min="11523" max="11523" width="7.75" style="83" customWidth="1"/>
    <col min="11524" max="11524" width="8.375" style="83" customWidth="1"/>
    <col min="11525" max="11525" width="9.875" style="83" customWidth="1"/>
    <col min="11526" max="11528" width="8.375" style="83" customWidth="1"/>
    <col min="11529" max="11769" width="8.75" style="83"/>
    <col min="11770" max="11770" width="4.25" style="83" customWidth="1"/>
    <col min="11771" max="11771" width="15" style="83" customWidth="1"/>
    <col min="11772" max="11772" width="9.5" style="83" customWidth="1"/>
    <col min="11773" max="11773" width="8.375" style="83" customWidth="1"/>
    <col min="11774" max="11774" width="8" style="83" customWidth="1"/>
    <col min="11775" max="11778" width="8.375" style="83" customWidth="1"/>
    <col min="11779" max="11779" width="7.75" style="83" customWidth="1"/>
    <col min="11780" max="11780" width="8.375" style="83" customWidth="1"/>
    <col min="11781" max="11781" width="9.875" style="83" customWidth="1"/>
    <col min="11782" max="11784" width="8.375" style="83" customWidth="1"/>
    <col min="11785" max="12025" width="8.75" style="83"/>
    <col min="12026" max="12026" width="4.25" style="83" customWidth="1"/>
    <col min="12027" max="12027" width="15" style="83" customWidth="1"/>
    <col min="12028" max="12028" width="9.5" style="83" customWidth="1"/>
    <col min="12029" max="12029" width="8.375" style="83" customWidth="1"/>
    <col min="12030" max="12030" width="8" style="83" customWidth="1"/>
    <col min="12031" max="12034" width="8.375" style="83" customWidth="1"/>
    <col min="12035" max="12035" width="7.75" style="83" customWidth="1"/>
    <col min="12036" max="12036" width="8.375" style="83" customWidth="1"/>
    <col min="12037" max="12037" width="9.875" style="83" customWidth="1"/>
    <col min="12038" max="12040" width="8.375" style="83" customWidth="1"/>
    <col min="12041" max="12281" width="8.75" style="83"/>
    <col min="12282" max="12282" width="4.25" style="83" customWidth="1"/>
    <col min="12283" max="12283" width="15" style="83" customWidth="1"/>
    <col min="12284" max="12284" width="9.5" style="83" customWidth="1"/>
    <col min="12285" max="12285" width="8.375" style="83" customWidth="1"/>
    <col min="12286" max="12286" width="8" style="83" customWidth="1"/>
    <col min="12287" max="12290" width="8.375" style="83" customWidth="1"/>
    <col min="12291" max="12291" width="7.75" style="83" customWidth="1"/>
    <col min="12292" max="12292" width="8.375" style="83" customWidth="1"/>
    <col min="12293" max="12293" width="9.875" style="83" customWidth="1"/>
    <col min="12294" max="12296" width="8.375" style="83" customWidth="1"/>
    <col min="12297" max="12537" width="8.75" style="83"/>
    <col min="12538" max="12538" width="4.25" style="83" customWidth="1"/>
    <col min="12539" max="12539" width="15" style="83" customWidth="1"/>
    <col min="12540" max="12540" width="9.5" style="83" customWidth="1"/>
    <col min="12541" max="12541" width="8.375" style="83" customWidth="1"/>
    <col min="12542" max="12542" width="8" style="83" customWidth="1"/>
    <col min="12543" max="12546" width="8.375" style="83" customWidth="1"/>
    <col min="12547" max="12547" width="7.75" style="83" customWidth="1"/>
    <col min="12548" max="12548" width="8.375" style="83" customWidth="1"/>
    <col min="12549" max="12549" width="9.875" style="83" customWidth="1"/>
    <col min="12550" max="12552" width="8.375" style="83" customWidth="1"/>
    <col min="12553" max="12793" width="8.75" style="83"/>
    <col min="12794" max="12794" width="4.25" style="83" customWidth="1"/>
    <col min="12795" max="12795" width="15" style="83" customWidth="1"/>
    <col min="12796" max="12796" width="9.5" style="83" customWidth="1"/>
    <col min="12797" max="12797" width="8.375" style="83" customWidth="1"/>
    <col min="12798" max="12798" width="8" style="83" customWidth="1"/>
    <col min="12799" max="12802" width="8.375" style="83" customWidth="1"/>
    <col min="12803" max="12803" width="7.75" style="83" customWidth="1"/>
    <col min="12804" max="12804" width="8.375" style="83" customWidth="1"/>
    <col min="12805" max="12805" width="9.875" style="83" customWidth="1"/>
    <col min="12806" max="12808" width="8.375" style="83" customWidth="1"/>
    <col min="12809" max="13049" width="8.75" style="83"/>
    <col min="13050" max="13050" width="4.25" style="83" customWidth="1"/>
    <col min="13051" max="13051" width="15" style="83" customWidth="1"/>
    <col min="13052" max="13052" width="9.5" style="83" customWidth="1"/>
    <col min="13053" max="13053" width="8.375" style="83" customWidth="1"/>
    <col min="13054" max="13054" width="8" style="83" customWidth="1"/>
    <col min="13055" max="13058" width="8.375" style="83" customWidth="1"/>
    <col min="13059" max="13059" width="7.75" style="83" customWidth="1"/>
    <col min="13060" max="13060" width="8.375" style="83" customWidth="1"/>
    <col min="13061" max="13061" width="9.875" style="83" customWidth="1"/>
    <col min="13062" max="13064" width="8.375" style="83" customWidth="1"/>
    <col min="13065" max="13305" width="8.75" style="83"/>
    <col min="13306" max="13306" width="4.25" style="83" customWidth="1"/>
    <col min="13307" max="13307" width="15" style="83" customWidth="1"/>
    <col min="13308" max="13308" width="9.5" style="83" customWidth="1"/>
    <col min="13309" max="13309" width="8.375" style="83" customWidth="1"/>
    <col min="13310" max="13310" width="8" style="83" customWidth="1"/>
    <col min="13311" max="13314" width="8.375" style="83" customWidth="1"/>
    <col min="13315" max="13315" width="7.75" style="83" customWidth="1"/>
    <col min="13316" max="13316" width="8.375" style="83" customWidth="1"/>
    <col min="13317" max="13317" width="9.875" style="83" customWidth="1"/>
    <col min="13318" max="13320" width="8.375" style="83" customWidth="1"/>
    <col min="13321" max="13561" width="8.75" style="83"/>
    <col min="13562" max="13562" width="4.25" style="83" customWidth="1"/>
    <col min="13563" max="13563" width="15" style="83" customWidth="1"/>
    <col min="13564" max="13564" width="9.5" style="83" customWidth="1"/>
    <col min="13565" max="13565" width="8.375" style="83" customWidth="1"/>
    <col min="13566" max="13566" width="8" style="83" customWidth="1"/>
    <col min="13567" max="13570" width="8.375" style="83" customWidth="1"/>
    <col min="13571" max="13571" width="7.75" style="83" customWidth="1"/>
    <col min="13572" max="13572" width="8.375" style="83" customWidth="1"/>
    <col min="13573" max="13573" width="9.875" style="83" customWidth="1"/>
    <col min="13574" max="13576" width="8.375" style="83" customWidth="1"/>
    <col min="13577" max="13817" width="8.75" style="83"/>
    <col min="13818" max="13818" width="4.25" style="83" customWidth="1"/>
    <col min="13819" max="13819" width="15" style="83" customWidth="1"/>
    <col min="13820" max="13820" width="9.5" style="83" customWidth="1"/>
    <col min="13821" max="13821" width="8.375" style="83" customWidth="1"/>
    <col min="13822" max="13822" width="8" style="83" customWidth="1"/>
    <col min="13823" max="13826" width="8.375" style="83" customWidth="1"/>
    <col min="13827" max="13827" width="7.75" style="83" customWidth="1"/>
    <col min="13828" max="13828" width="8.375" style="83" customWidth="1"/>
    <col min="13829" max="13829" width="9.875" style="83" customWidth="1"/>
    <col min="13830" max="13832" width="8.375" style="83" customWidth="1"/>
    <col min="13833" max="14073" width="8.75" style="83"/>
    <col min="14074" max="14074" width="4.25" style="83" customWidth="1"/>
    <col min="14075" max="14075" width="15" style="83" customWidth="1"/>
    <col min="14076" max="14076" width="9.5" style="83" customWidth="1"/>
    <col min="14077" max="14077" width="8.375" style="83" customWidth="1"/>
    <col min="14078" max="14078" width="8" style="83" customWidth="1"/>
    <col min="14079" max="14082" width="8.375" style="83" customWidth="1"/>
    <col min="14083" max="14083" width="7.75" style="83" customWidth="1"/>
    <col min="14084" max="14084" width="8.375" style="83" customWidth="1"/>
    <col min="14085" max="14085" width="9.875" style="83" customWidth="1"/>
    <col min="14086" max="14088" width="8.375" style="83" customWidth="1"/>
    <col min="14089" max="14329" width="8.75" style="83"/>
    <col min="14330" max="14330" width="4.25" style="83" customWidth="1"/>
    <col min="14331" max="14331" width="15" style="83" customWidth="1"/>
    <col min="14332" max="14332" width="9.5" style="83" customWidth="1"/>
    <col min="14333" max="14333" width="8.375" style="83" customWidth="1"/>
    <col min="14334" max="14334" width="8" style="83" customWidth="1"/>
    <col min="14335" max="14338" width="8.375" style="83" customWidth="1"/>
    <col min="14339" max="14339" width="7.75" style="83" customWidth="1"/>
    <col min="14340" max="14340" width="8.375" style="83" customWidth="1"/>
    <col min="14341" max="14341" width="9.875" style="83" customWidth="1"/>
    <col min="14342" max="14344" width="8.375" style="83" customWidth="1"/>
    <col min="14345" max="14585" width="8.75" style="83"/>
    <col min="14586" max="14586" width="4.25" style="83" customWidth="1"/>
    <col min="14587" max="14587" width="15" style="83" customWidth="1"/>
    <col min="14588" max="14588" width="9.5" style="83" customWidth="1"/>
    <col min="14589" max="14589" width="8.375" style="83" customWidth="1"/>
    <col min="14590" max="14590" width="8" style="83" customWidth="1"/>
    <col min="14591" max="14594" width="8.375" style="83" customWidth="1"/>
    <col min="14595" max="14595" width="7.75" style="83" customWidth="1"/>
    <col min="14596" max="14596" width="8.375" style="83" customWidth="1"/>
    <col min="14597" max="14597" width="9.875" style="83" customWidth="1"/>
    <col min="14598" max="14600" width="8.375" style="83" customWidth="1"/>
    <col min="14601" max="14841" width="8.75" style="83"/>
    <col min="14842" max="14842" width="4.25" style="83" customWidth="1"/>
    <col min="14843" max="14843" width="15" style="83" customWidth="1"/>
    <col min="14844" max="14844" width="9.5" style="83" customWidth="1"/>
    <col min="14845" max="14845" width="8.375" style="83" customWidth="1"/>
    <col min="14846" max="14846" width="8" style="83" customWidth="1"/>
    <col min="14847" max="14850" width="8.375" style="83" customWidth="1"/>
    <col min="14851" max="14851" width="7.75" style="83" customWidth="1"/>
    <col min="14852" max="14852" width="8.375" style="83" customWidth="1"/>
    <col min="14853" max="14853" width="9.875" style="83" customWidth="1"/>
    <col min="14854" max="14856" width="8.375" style="83" customWidth="1"/>
    <col min="14857" max="15097" width="8.75" style="83"/>
    <col min="15098" max="15098" width="4.25" style="83" customWidth="1"/>
    <col min="15099" max="15099" width="15" style="83" customWidth="1"/>
    <col min="15100" max="15100" width="9.5" style="83" customWidth="1"/>
    <col min="15101" max="15101" width="8.375" style="83" customWidth="1"/>
    <col min="15102" max="15102" width="8" style="83" customWidth="1"/>
    <col min="15103" max="15106" width="8.375" style="83" customWidth="1"/>
    <col min="15107" max="15107" width="7.75" style="83" customWidth="1"/>
    <col min="15108" max="15108" width="8.375" style="83" customWidth="1"/>
    <col min="15109" max="15109" width="9.875" style="83" customWidth="1"/>
    <col min="15110" max="15112" width="8.375" style="83" customWidth="1"/>
    <col min="15113" max="15353" width="8.75" style="83"/>
    <col min="15354" max="15354" width="4.25" style="83" customWidth="1"/>
    <col min="15355" max="15355" width="15" style="83" customWidth="1"/>
    <col min="15356" max="15356" width="9.5" style="83" customWidth="1"/>
    <col min="15357" max="15357" width="8.375" style="83" customWidth="1"/>
    <col min="15358" max="15358" width="8" style="83" customWidth="1"/>
    <col min="15359" max="15362" width="8.375" style="83" customWidth="1"/>
    <col min="15363" max="15363" width="7.75" style="83" customWidth="1"/>
    <col min="15364" max="15364" width="8.375" style="83" customWidth="1"/>
    <col min="15365" max="15365" width="9.875" style="83" customWidth="1"/>
    <col min="15366" max="15368" width="8.375" style="83" customWidth="1"/>
    <col min="15369" max="15609" width="8.75" style="83"/>
    <col min="15610" max="15610" width="4.25" style="83" customWidth="1"/>
    <col min="15611" max="15611" width="15" style="83" customWidth="1"/>
    <col min="15612" max="15612" width="9.5" style="83" customWidth="1"/>
    <col min="15613" max="15613" width="8.375" style="83" customWidth="1"/>
    <col min="15614" max="15614" width="8" style="83" customWidth="1"/>
    <col min="15615" max="15618" width="8.375" style="83" customWidth="1"/>
    <col min="15619" max="15619" width="7.75" style="83" customWidth="1"/>
    <col min="15620" max="15620" width="8.375" style="83" customWidth="1"/>
    <col min="15621" max="15621" width="9.875" style="83" customWidth="1"/>
    <col min="15622" max="15624" width="8.375" style="83" customWidth="1"/>
    <col min="15625" max="15865" width="8.75" style="83"/>
    <col min="15866" max="15866" width="4.25" style="83" customWidth="1"/>
    <col min="15867" max="15867" width="15" style="83" customWidth="1"/>
    <col min="15868" max="15868" width="9.5" style="83" customWidth="1"/>
    <col min="15869" max="15869" width="8.375" style="83" customWidth="1"/>
    <col min="15870" max="15870" width="8" style="83" customWidth="1"/>
    <col min="15871" max="15874" width="8.375" style="83" customWidth="1"/>
    <col min="15875" max="15875" width="7.75" style="83" customWidth="1"/>
    <col min="15876" max="15876" width="8.375" style="83" customWidth="1"/>
    <col min="15877" max="15877" width="9.875" style="83" customWidth="1"/>
    <col min="15878" max="15880" width="8.375" style="83" customWidth="1"/>
    <col min="15881" max="16121" width="8.75" style="83"/>
    <col min="16122" max="16122" width="4.25" style="83" customWidth="1"/>
    <col min="16123" max="16123" width="15" style="83" customWidth="1"/>
    <col min="16124" max="16124" width="9.5" style="83" customWidth="1"/>
    <col min="16125" max="16125" width="8.375" style="83" customWidth="1"/>
    <col min="16126" max="16126" width="8" style="83" customWidth="1"/>
    <col min="16127" max="16130" width="8.375" style="83" customWidth="1"/>
    <col min="16131" max="16131" width="7.75" style="83" customWidth="1"/>
    <col min="16132" max="16132" width="8.375" style="83" customWidth="1"/>
    <col min="16133" max="16133" width="9.875" style="83" customWidth="1"/>
    <col min="16134" max="16136" width="8.375" style="83" customWidth="1"/>
    <col min="16137" max="16384" width="8.75" style="83"/>
  </cols>
  <sheetData>
    <row r="1" spans="1:21" x14ac:dyDescent="0.25">
      <c r="A1" s="261" t="s">
        <v>547</v>
      </c>
      <c r="B1" s="261"/>
      <c r="C1" s="261"/>
      <c r="D1" s="261"/>
      <c r="E1" s="261"/>
      <c r="F1" s="261"/>
      <c r="G1" s="261"/>
      <c r="H1" s="261"/>
      <c r="I1" s="261"/>
      <c r="J1" s="261"/>
      <c r="K1" s="261"/>
      <c r="L1" s="261"/>
      <c r="M1" s="261"/>
      <c r="N1" s="261"/>
      <c r="O1" s="261"/>
      <c r="P1" s="89"/>
      <c r="Q1" s="89"/>
      <c r="R1" s="89"/>
      <c r="S1" s="89"/>
      <c r="T1" s="89"/>
      <c r="U1" s="89"/>
    </row>
    <row r="2" spans="1:21" ht="22.5" customHeight="1" x14ac:dyDescent="0.25">
      <c r="A2" s="263" t="s">
        <v>556</v>
      </c>
      <c r="B2" s="263"/>
      <c r="C2" s="263"/>
      <c r="D2" s="263"/>
      <c r="E2" s="263"/>
      <c r="F2" s="263"/>
      <c r="G2" s="263"/>
      <c r="H2" s="263"/>
      <c r="I2" s="263"/>
      <c r="J2" s="263"/>
      <c r="K2" s="263"/>
      <c r="L2" s="263"/>
      <c r="M2" s="263"/>
      <c r="N2" s="263"/>
      <c r="O2" s="263"/>
    </row>
    <row r="3" spans="1:21" ht="21" customHeight="1" x14ac:dyDescent="0.25">
      <c r="A3" s="264" t="s">
        <v>796</v>
      </c>
      <c r="B3" s="265"/>
      <c r="C3" s="265"/>
      <c r="D3" s="265"/>
      <c r="E3" s="265"/>
      <c r="F3" s="265"/>
      <c r="G3" s="265"/>
      <c r="H3" s="265"/>
      <c r="I3" s="265"/>
      <c r="J3" s="265"/>
      <c r="K3" s="265"/>
      <c r="L3" s="265"/>
      <c r="M3" s="265"/>
      <c r="N3" s="265"/>
      <c r="O3" s="265"/>
    </row>
    <row r="4" spans="1:21" x14ac:dyDescent="0.25">
      <c r="M4" s="266" t="s">
        <v>469</v>
      </c>
      <c r="N4" s="266"/>
      <c r="O4" s="266"/>
    </row>
    <row r="5" spans="1:21" ht="57" x14ac:dyDescent="0.25">
      <c r="A5" s="126" t="s">
        <v>44</v>
      </c>
      <c r="B5" s="126" t="s">
        <v>257</v>
      </c>
      <c r="C5" s="126" t="s">
        <v>258</v>
      </c>
      <c r="D5" s="126" t="s">
        <v>557</v>
      </c>
      <c r="E5" s="126" t="s">
        <v>558</v>
      </c>
      <c r="F5" s="126" t="s">
        <v>559</v>
      </c>
      <c r="G5" s="126" t="s">
        <v>560</v>
      </c>
      <c r="H5" s="126" t="s">
        <v>561</v>
      </c>
      <c r="I5" s="126" t="s">
        <v>562</v>
      </c>
      <c r="J5" s="126" t="s">
        <v>563</v>
      </c>
      <c r="K5" s="126" t="s">
        <v>564</v>
      </c>
      <c r="L5" s="126" t="s">
        <v>565</v>
      </c>
      <c r="M5" s="126" t="s">
        <v>566</v>
      </c>
      <c r="N5" s="126" t="s">
        <v>567</v>
      </c>
      <c r="O5" s="126" t="s">
        <v>568</v>
      </c>
    </row>
    <row r="6" spans="1:21" s="163" customFormat="1" ht="23.45" customHeight="1" x14ac:dyDescent="0.25">
      <c r="A6" s="165">
        <v>1</v>
      </c>
      <c r="B6" s="166" t="s">
        <v>259</v>
      </c>
      <c r="C6" s="170">
        <f>SUM(D6:O6)</f>
        <v>122500</v>
      </c>
      <c r="D6" s="170">
        <v>912</v>
      </c>
      <c r="E6" s="170"/>
      <c r="F6" s="170">
        <v>30200</v>
      </c>
      <c r="G6" s="170">
        <v>4400</v>
      </c>
      <c r="H6" s="170">
        <v>12400</v>
      </c>
      <c r="I6" s="170">
        <v>4000</v>
      </c>
      <c r="J6" s="170">
        <v>88</v>
      </c>
      <c r="K6" s="170">
        <v>2500</v>
      </c>
      <c r="L6" s="170">
        <v>6000</v>
      </c>
      <c r="M6" s="170">
        <v>54500</v>
      </c>
      <c r="N6" s="170">
        <v>3500</v>
      </c>
      <c r="O6" s="170">
        <v>4000</v>
      </c>
    </row>
    <row r="7" spans="1:21" s="163" customFormat="1" ht="23.45" customHeight="1" x14ac:dyDescent="0.25">
      <c r="A7" s="165">
        <f t="shared" ref="A7:A18" si="0">+A6+1</f>
        <v>2</v>
      </c>
      <c r="B7" s="166" t="s">
        <v>538</v>
      </c>
      <c r="C7" s="170">
        <f>SUM(D7:O7)</f>
        <v>480501</v>
      </c>
      <c r="D7" s="170">
        <v>22769</v>
      </c>
      <c r="E7" s="170">
        <v>39000</v>
      </c>
      <c r="F7" s="170">
        <v>128640</v>
      </c>
      <c r="G7" s="170">
        <v>9932</v>
      </c>
      <c r="H7" s="170">
        <v>32875</v>
      </c>
      <c r="I7" s="170">
        <v>6000</v>
      </c>
      <c r="J7" s="170">
        <v>590</v>
      </c>
      <c r="K7" s="170">
        <v>70000</v>
      </c>
      <c r="L7" s="170">
        <v>34985</v>
      </c>
      <c r="M7" s="170">
        <v>125000</v>
      </c>
      <c r="N7" s="170">
        <v>5710</v>
      </c>
      <c r="O7" s="170">
        <v>5000</v>
      </c>
    </row>
    <row r="8" spans="1:21" s="163" customFormat="1" ht="23.45" customHeight="1" x14ac:dyDescent="0.25">
      <c r="A8" s="165">
        <f t="shared" si="0"/>
        <v>3</v>
      </c>
      <c r="B8" s="166" t="s">
        <v>260</v>
      </c>
      <c r="C8" s="170">
        <f>SUM(D8:O8)</f>
        <v>148000</v>
      </c>
      <c r="D8" s="170">
        <v>2530</v>
      </c>
      <c r="E8" s="170"/>
      <c r="F8" s="170">
        <v>31600</v>
      </c>
      <c r="G8" s="170">
        <v>5800</v>
      </c>
      <c r="H8" s="170">
        <v>24700</v>
      </c>
      <c r="I8" s="170">
        <v>4000</v>
      </c>
      <c r="J8" s="170">
        <v>270</v>
      </c>
      <c r="K8" s="170">
        <v>5000</v>
      </c>
      <c r="L8" s="170">
        <v>4100</v>
      </c>
      <c r="M8" s="170">
        <v>60000</v>
      </c>
      <c r="N8" s="170">
        <v>4500</v>
      </c>
      <c r="O8" s="170">
        <v>5500</v>
      </c>
    </row>
    <row r="9" spans="1:21" s="163" customFormat="1" ht="23.45" customHeight="1" x14ac:dyDescent="0.25">
      <c r="A9" s="165">
        <f t="shared" si="0"/>
        <v>4</v>
      </c>
      <c r="B9" s="166" t="s">
        <v>261</v>
      </c>
      <c r="C9" s="170">
        <f>SUM(D9:O9)</f>
        <v>804500</v>
      </c>
      <c r="D9" s="170">
        <v>17000</v>
      </c>
      <c r="E9" s="170"/>
      <c r="F9" s="170">
        <v>177000</v>
      </c>
      <c r="G9" s="170">
        <v>35000</v>
      </c>
      <c r="H9" s="170">
        <v>114800</v>
      </c>
      <c r="I9" s="170">
        <v>4500</v>
      </c>
      <c r="J9" s="170">
        <v>6150</v>
      </c>
      <c r="K9" s="170">
        <v>21000</v>
      </c>
      <c r="L9" s="170"/>
      <c r="M9" s="170">
        <v>423000</v>
      </c>
      <c r="N9" s="170">
        <v>1900</v>
      </c>
      <c r="O9" s="170">
        <v>4150</v>
      </c>
    </row>
    <row r="10" spans="1:21" s="163" customFormat="1" ht="23.45" customHeight="1" x14ac:dyDescent="0.25">
      <c r="A10" s="165">
        <f t="shared" si="0"/>
        <v>5</v>
      </c>
      <c r="B10" s="166" t="s">
        <v>262</v>
      </c>
      <c r="C10" s="170">
        <f t="shared" ref="C10:C18" si="1">SUM(D10:O10)</f>
        <v>370000</v>
      </c>
      <c r="D10" s="170">
        <v>5500</v>
      </c>
      <c r="E10" s="170"/>
      <c r="F10" s="170">
        <v>32500</v>
      </c>
      <c r="G10" s="170">
        <v>6000</v>
      </c>
      <c r="H10" s="170">
        <v>27900</v>
      </c>
      <c r="I10" s="170">
        <v>4000</v>
      </c>
      <c r="J10" s="170">
        <v>498</v>
      </c>
      <c r="K10" s="170">
        <v>5000</v>
      </c>
      <c r="L10" s="170">
        <v>225000</v>
      </c>
      <c r="M10" s="170">
        <v>52500</v>
      </c>
      <c r="N10" s="170">
        <v>7000</v>
      </c>
      <c r="O10" s="170">
        <v>4102</v>
      </c>
    </row>
    <row r="11" spans="1:21" s="163" customFormat="1" ht="23.45" customHeight="1" x14ac:dyDescent="0.25">
      <c r="A11" s="165">
        <f t="shared" si="0"/>
        <v>6</v>
      </c>
      <c r="B11" s="166" t="s">
        <v>263</v>
      </c>
      <c r="C11" s="170">
        <f t="shared" si="1"/>
        <v>125000</v>
      </c>
      <c r="D11" s="170">
        <v>2130</v>
      </c>
      <c r="E11" s="170"/>
      <c r="F11" s="170">
        <v>27500</v>
      </c>
      <c r="G11" s="170">
        <v>4300</v>
      </c>
      <c r="H11" s="170">
        <v>15625</v>
      </c>
      <c r="I11" s="170">
        <v>8600</v>
      </c>
      <c r="J11" s="170">
        <v>245</v>
      </c>
      <c r="K11" s="170">
        <v>1800</v>
      </c>
      <c r="L11" s="170">
        <v>3300</v>
      </c>
      <c r="M11" s="170">
        <v>55000</v>
      </c>
      <c r="N11" s="170">
        <v>3500</v>
      </c>
      <c r="O11" s="170">
        <v>3000</v>
      </c>
    </row>
    <row r="12" spans="1:21" s="163" customFormat="1" ht="23.45" customHeight="1" x14ac:dyDescent="0.25">
      <c r="A12" s="165">
        <f t="shared" si="0"/>
        <v>7</v>
      </c>
      <c r="B12" s="166" t="s">
        <v>264</v>
      </c>
      <c r="C12" s="170">
        <f t="shared" si="1"/>
        <v>125400</v>
      </c>
      <c r="D12" s="170">
        <v>870</v>
      </c>
      <c r="E12" s="170"/>
      <c r="F12" s="170">
        <v>25600</v>
      </c>
      <c r="G12" s="170">
        <v>4600</v>
      </c>
      <c r="H12" s="170">
        <v>18000</v>
      </c>
      <c r="I12" s="170">
        <v>5000</v>
      </c>
      <c r="J12" s="170">
        <v>130</v>
      </c>
      <c r="K12" s="170">
        <v>2700</v>
      </c>
      <c r="L12" s="170"/>
      <c r="M12" s="170">
        <v>60000</v>
      </c>
      <c r="N12" s="170">
        <v>4500</v>
      </c>
      <c r="O12" s="170">
        <v>4000</v>
      </c>
    </row>
    <row r="13" spans="1:21" s="163" customFormat="1" ht="23.45" customHeight="1" x14ac:dyDescent="0.25">
      <c r="A13" s="165">
        <f t="shared" si="0"/>
        <v>8</v>
      </c>
      <c r="B13" s="166" t="s">
        <v>265</v>
      </c>
      <c r="C13" s="170">
        <f t="shared" si="1"/>
        <v>119000</v>
      </c>
      <c r="D13" s="170">
        <v>12500</v>
      </c>
      <c r="E13" s="170"/>
      <c r="F13" s="170">
        <v>26500</v>
      </c>
      <c r="G13" s="170">
        <v>4000</v>
      </c>
      <c r="H13" s="170">
        <v>15000</v>
      </c>
      <c r="I13" s="170">
        <v>3000</v>
      </c>
      <c r="J13" s="170">
        <v>500</v>
      </c>
      <c r="K13" s="170">
        <v>4000</v>
      </c>
      <c r="L13" s="170">
        <v>1500</v>
      </c>
      <c r="M13" s="170">
        <v>47000</v>
      </c>
      <c r="N13" s="170">
        <v>2500</v>
      </c>
      <c r="O13" s="170">
        <v>2500</v>
      </c>
    </row>
    <row r="14" spans="1:21" s="163" customFormat="1" ht="23.45" customHeight="1" x14ac:dyDescent="0.25">
      <c r="A14" s="165">
        <f t="shared" si="0"/>
        <v>9</v>
      </c>
      <c r="B14" s="166" t="s">
        <v>266</v>
      </c>
      <c r="C14" s="170">
        <f>SUM(D14:O14)</f>
        <v>83999</v>
      </c>
      <c r="D14" s="170">
        <v>2319</v>
      </c>
      <c r="E14" s="170"/>
      <c r="F14" s="170">
        <v>26000</v>
      </c>
      <c r="G14" s="170">
        <v>3500</v>
      </c>
      <c r="H14" s="170">
        <v>15500</v>
      </c>
      <c r="I14" s="170">
        <v>2500</v>
      </c>
      <c r="J14" s="170">
        <v>80</v>
      </c>
      <c r="K14" s="170">
        <v>1200</v>
      </c>
      <c r="L14" s="170">
        <v>2700</v>
      </c>
      <c r="M14" s="170">
        <v>25000</v>
      </c>
      <c r="N14" s="170">
        <v>2400</v>
      </c>
      <c r="O14" s="170">
        <v>2800</v>
      </c>
    </row>
    <row r="15" spans="1:21" s="163" customFormat="1" ht="23.45" customHeight="1" x14ac:dyDescent="0.25">
      <c r="A15" s="165">
        <f t="shared" si="0"/>
        <v>10</v>
      </c>
      <c r="B15" s="166" t="s">
        <v>267</v>
      </c>
      <c r="C15" s="170">
        <f t="shared" si="1"/>
        <v>68000</v>
      </c>
      <c r="D15" s="170">
        <v>2100</v>
      </c>
      <c r="E15" s="170"/>
      <c r="F15" s="170">
        <v>18500</v>
      </c>
      <c r="G15" s="170">
        <v>2800</v>
      </c>
      <c r="H15" s="170">
        <v>15500</v>
      </c>
      <c r="I15" s="170">
        <v>4600</v>
      </c>
      <c r="J15" s="170">
        <v>41</v>
      </c>
      <c r="K15" s="170">
        <v>610</v>
      </c>
      <c r="L15" s="170">
        <v>949</v>
      </c>
      <c r="M15" s="170">
        <v>15000</v>
      </c>
      <c r="N15" s="170">
        <v>4200</v>
      </c>
      <c r="O15" s="170">
        <v>3700</v>
      </c>
    </row>
    <row r="16" spans="1:21" s="163" customFormat="1" ht="23.45" customHeight="1" x14ac:dyDescent="0.25">
      <c r="A16" s="165">
        <f t="shared" si="0"/>
        <v>11</v>
      </c>
      <c r="B16" s="166" t="s">
        <v>268</v>
      </c>
      <c r="C16" s="170">
        <f t="shared" si="1"/>
        <v>112800</v>
      </c>
      <c r="D16" s="170">
        <v>1200</v>
      </c>
      <c r="E16" s="170"/>
      <c r="F16" s="170">
        <v>49800</v>
      </c>
      <c r="G16" s="170">
        <v>5338</v>
      </c>
      <c r="H16" s="170">
        <v>14700</v>
      </c>
      <c r="I16" s="170">
        <v>3500</v>
      </c>
      <c r="J16" s="170">
        <v>946</v>
      </c>
      <c r="K16" s="170">
        <v>5100</v>
      </c>
      <c r="L16" s="170">
        <v>516</v>
      </c>
      <c r="M16" s="170">
        <v>25000</v>
      </c>
      <c r="N16" s="170">
        <v>800</v>
      </c>
      <c r="O16" s="170">
        <v>5900</v>
      </c>
    </row>
    <row r="17" spans="1:15" s="163" customFormat="1" ht="23.45" customHeight="1" x14ac:dyDescent="0.25">
      <c r="A17" s="165">
        <f t="shared" si="0"/>
        <v>12</v>
      </c>
      <c r="B17" s="166" t="s">
        <v>269</v>
      </c>
      <c r="C17" s="170">
        <f t="shared" si="1"/>
        <v>37000</v>
      </c>
      <c r="D17" s="170">
        <v>3700</v>
      </c>
      <c r="E17" s="170"/>
      <c r="F17" s="170">
        <v>17000</v>
      </c>
      <c r="G17" s="170">
        <v>730</v>
      </c>
      <c r="H17" s="170">
        <v>3000</v>
      </c>
      <c r="I17" s="170">
        <v>1800</v>
      </c>
      <c r="J17" s="170">
        <v>20</v>
      </c>
      <c r="K17" s="170">
        <v>1150</v>
      </c>
      <c r="L17" s="170">
        <v>500</v>
      </c>
      <c r="M17" s="170">
        <v>6000</v>
      </c>
      <c r="N17" s="170">
        <v>1600</v>
      </c>
      <c r="O17" s="170">
        <v>1500</v>
      </c>
    </row>
    <row r="18" spans="1:15" s="163" customFormat="1" ht="23.45" customHeight="1" x14ac:dyDescent="0.25">
      <c r="A18" s="165">
        <f t="shared" si="0"/>
        <v>13</v>
      </c>
      <c r="B18" s="166" t="s">
        <v>270</v>
      </c>
      <c r="C18" s="170">
        <f t="shared" si="1"/>
        <v>100000</v>
      </c>
      <c r="D18" s="170">
        <v>3500</v>
      </c>
      <c r="E18" s="170"/>
      <c r="F18" s="170">
        <v>18550</v>
      </c>
      <c r="G18" s="170">
        <v>2500</v>
      </c>
      <c r="H18" s="170">
        <v>15000</v>
      </c>
      <c r="I18" s="170">
        <v>2500</v>
      </c>
      <c r="J18" s="170">
        <v>30</v>
      </c>
      <c r="K18" s="170">
        <v>130</v>
      </c>
      <c r="L18" s="170">
        <v>900</v>
      </c>
      <c r="M18" s="170">
        <v>52000</v>
      </c>
      <c r="N18" s="170">
        <v>2890</v>
      </c>
      <c r="O18" s="170">
        <v>2000</v>
      </c>
    </row>
    <row r="19" spans="1:15" s="164" customFormat="1" ht="23.45" customHeight="1" x14ac:dyDescent="0.2">
      <c r="A19" s="267" t="s">
        <v>258</v>
      </c>
      <c r="B19" s="267"/>
      <c r="C19" s="171">
        <f>SUM(C6:C18)</f>
        <v>2696700</v>
      </c>
      <c r="D19" s="171">
        <f t="shared" ref="D19:O19" si="2">SUM(D6:D18)</f>
        <v>77030</v>
      </c>
      <c r="E19" s="171">
        <f t="shared" si="2"/>
        <v>39000</v>
      </c>
      <c r="F19" s="171">
        <f t="shared" si="2"/>
        <v>609390</v>
      </c>
      <c r="G19" s="171">
        <f t="shared" si="2"/>
        <v>88900</v>
      </c>
      <c r="H19" s="171">
        <f t="shared" si="2"/>
        <v>325000</v>
      </c>
      <c r="I19" s="171">
        <f>SUM(I6:I18)</f>
        <v>54000</v>
      </c>
      <c r="J19" s="171">
        <f t="shared" si="2"/>
        <v>9588</v>
      </c>
      <c r="K19" s="171">
        <f t="shared" si="2"/>
        <v>120190</v>
      </c>
      <c r="L19" s="171">
        <f t="shared" si="2"/>
        <v>280450</v>
      </c>
      <c r="M19" s="171">
        <f t="shared" si="2"/>
        <v>1000000</v>
      </c>
      <c r="N19" s="171">
        <f t="shared" si="2"/>
        <v>45000</v>
      </c>
      <c r="O19" s="171">
        <f t="shared" si="2"/>
        <v>48152</v>
      </c>
    </row>
    <row r="20" spans="1:15" s="93" customFormat="1" ht="11.25" x14ac:dyDescent="0.25"/>
    <row r="21" spans="1:15" s="85" customFormat="1" ht="16.5" x14ac:dyDescent="0.25">
      <c r="J21" s="262" t="s">
        <v>604</v>
      </c>
      <c r="K21" s="262"/>
      <c r="L21" s="262"/>
      <c r="M21" s="262"/>
      <c r="N21" s="262"/>
      <c r="O21" s="262"/>
    </row>
    <row r="1333" spans="7:7" x14ac:dyDescent="0.25">
      <c r="G1333" s="83">
        <v>1500</v>
      </c>
    </row>
  </sheetData>
  <mergeCells count="6">
    <mergeCell ref="A1:O1"/>
    <mergeCell ref="J21:O21"/>
    <mergeCell ref="A2:O2"/>
    <mergeCell ref="A3:O3"/>
    <mergeCell ref="M4:O4"/>
    <mergeCell ref="A19:B19"/>
  </mergeCells>
  <printOptions horizontalCentered="1"/>
  <pageMargins left="0" right="0" top="0.8" bottom="0.6" header="0.3" footer="0.2"/>
  <pageSetup paperSize="9" orientation="landscape" r:id="rId1"/>
  <headerFooter>
    <oddFooter>&amp;C&amp;P/1 (PL06)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opLeftCell="A19" workbookViewId="0">
      <selection activeCell="G9" sqref="G9"/>
    </sheetView>
  </sheetViews>
  <sheetFormatPr defaultRowHeight="15.75" x14ac:dyDescent="0.25"/>
  <cols>
    <col min="1" max="1" width="4.25" style="83" customWidth="1"/>
    <col min="2" max="2" width="17.875" style="83" customWidth="1"/>
    <col min="3" max="4" width="10.875" style="84" customWidth="1"/>
    <col min="5" max="5" width="11.375" style="84" customWidth="1"/>
    <col min="6" max="7" width="10.25" style="84" customWidth="1"/>
    <col min="8" max="8" width="11" style="84" customWidth="1"/>
    <col min="9" max="9" width="10.25" style="84" customWidth="1"/>
    <col min="10" max="10" width="10.25" style="83" customWidth="1"/>
    <col min="11" max="11" width="11.125" style="83" customWidth="1"/>
    <col min="12" max="12" width="10.25" style="83" customWidth="1"/>
    <col min="13" max="224" width="8.75" style="83"/>
    <col min="225" max="225" width="4.25" style="83" customWidth="1"/>
    <col min="226" max="226" width="16.25" style="83" customWidth="1"/>
    <col min="227" max="228" width="10.875" style="83" customWidth="1"/>
    <col min="229" max="236" width="10.25" style="83" customWidth="1"/>
    <col min="237" max="237" width="8.75" style="83"/>
    <col min="238" max="243" width="12.25" style="83" customWidth="1"/>
    <col min="244" max="249" width="9.125" style="83" bestFit="1" customWidth="1"/>
    <col min="250" max="480" width="8.75" style="83"/>
    <col min="481" max="481" width="4.25" style="83" customWidth="1"/>
    <col min="482" max="482" width="16.25" style="83" customWidth="1"/>
    <col min="483" max="484" width="10.875" style="83" customWidth="1"/>
    <col min="485" max="492" width="10.25" style="83" customWidth="1"/>
    <col min="493" max="493" width="8.75" style="83"/>
    <col min="494" max="499" width="12.25" style="83" customWidth="1"/>
    <col min="500" max="505" width="9.125" style="83" bestFit="1" customWidth="1"/>
    <col min="506" max="736" width="8.75" style="83"/>
    <col min="737" max="737" width="4.25" style="83" customWidth="1"/>
    <col min="738" max="738" width="16.25" style="83" customWidth="1"/>
    <col min="739" max="740" width="10.875" style="83" customWidth="1"/>
    <col min="741" max="748" width="10.25" style="83" customWidth="1"/>
    <col min="749" max="749" width="8.75" style="83"/>
    <col min="750" max="755" width="12.25" style="83" customWidth="1"/>
    <col min="756" max="761" width="9.125" style="83" bestFit="1" customWidth="1"/>
    <col min="762" max="992" width="8.75" style="83"/>
    <col min="993" max="993" width="4.25" style="83" customWidth="1"/>
    <col min="994" max="994" width="16.25" style="83" customWidth="1"/>
    <col min="995" max="996" width="10.875" style="83" customWidth="1"/>
    <col min="997" max="1004" width="10.25" style="83" customWidth="1"/>
    <col min="1005" max="1005" width="8.75" style="83"/>
    <col min="1006" max="1011" width="12.25" style="83" customWidth="1"/>
    <col min="1012" max="1017" width="9.125" style="83" bestFit="1" customWidth="1"/>
    <col min="1018" max="1248" width="8.75" style="83"/>
    <col min="1249" max="1249" width="4.25" style="83" customWidth="1"/>
    <col min="1250" max="1250" width="16.25" style="83" customWidth="1"/>
    <col min="1251" max="1252" width="10.875" style="83" customWidth="1"/>
    <col min="1253" max="1260" width="10.25" style="83" customWidth="1"/>
    <col min="1261" max="1261" width="8.75" style="83"/>
    <col min="1262" max="1267" width="12.25" style="83" customWidth="1"/>
    <col min="1268" max="1273" width="9.125" style="83" bestFit="1" customWidth="1"/>
    <col min="1274" max="1504" width="8.75" style="83"/>
    <col min="1505" max="1505" width="4.25" style="83" customWidth="1"/>
    <col min="1506" max="1506" width="16.25" style="83" customWidth="1"/>
    <col min="1507" max="1508" width="10.875" style="83" customWidth="1"/>
    <col min="1509" max="1516" width="10.25" style="83" customWidth="1"/>
    <col min="1517" max="1517" width="8.75" style="83"/>
    <col min="1518" max="1523" width="12.25" style="83" customWidth="1"/>
    <col min="1524" max="1529" width="9.125" style="83" bestFit="1" customWidth="1"/>
    <col min="1530" max="1760" width="8.75" style="83"/>
    <col min="1761" max="1761" width="4.25" style="83" customWidth="1"/>
    <col min="1762" max="1762" width="16.25" style="83" customWidth="1"/>
    <col min="1763" max="1764" width="10.875" style="83" customWidth="1"/>
    <col min="1765" max="1772" width="10.25" style="83" customWidth="1"/>
    <col min="1773" max="1773" width="8.75" style="83"/>
    <col min="1774" max="1779" width="12.25" style="83" customWidth="1"/>
    <col min="1780" max="1785" width="9.125" style="83" bestFit="1" customWidth="1"/>
    <col min="1786" max="2016" width="8.75" style="83"/>
    <col min="2017" max="2017" width="4.25" style="83" customWidth="1"/>
    <col min="2018" max="2018" width="16.25" style="83" customWidth="1"/>
    <col min="2019" max="2020" width="10.875" style="83" customWidth="1"/>
    <col min="2021" max="2028" width="10.25" style="83" customWidth="1"/>
    <col min="2029" max="2029" width="8.75" style="83"/>
    <col min="2030" max="2035" width="12.25" style="83" customWidth="1"/>
    <col min="2036" max="2041" width="9.125" style="83" bestFit="1" customWidth="1"/>
    <col min="2042" max="2272" width="8.75" style="83"/>
    <col min="2273" max="2273" width="4.25" style="83" customWidth="1"/>
    <col min="2274" max="2274" width="16.25" style="83" customWidth="1"/>
    <col min="2275" max="2276" width="10.875" style="83" customWidth="1"/>
    <col min="2277" max="2284" width="10.25" style="83" customWidth="1"/>
    <col min="2285" max="2285" width="8.75" style="83"/>
    <col min="2286" max="2291" width="12.25" style="83" customWidth="1"/>
    <col min="2292" max="2297" width="9.125" style="83" bestFit="1" customWidth="1"/>
    <col min="2298" max="2528" width="8.75" style="83"/>
    <col min="2529" max="2529" width="4.25" style="83" customWidth="1"/>
    <col min="2530" max="2530" width="16.25" style="83" customWidth="1"/>
    <col min="2531" max="2532" width="10.875" style="83" customWidth="1"/>
    <col min="2533" max="2540" width="10.25" style="83" customWidth="1"/>
    <col min="2541" max="2541" width="8.75" style="83"/>
    <col min="2542" max="2547" width="12.25" style="83" customWidth="1"/>
    <col min="2548" max="2553" width="9.125" style="83" bestFit="1" customWidth="1"/>
    <col min="2554" max="2784" width="8.75" style="83"/>
    <col min="2785" max="2785" width="4.25" style="83" customWidth="1"/>
    <col min="2786" max="2786" width="16.25" style="83" customWidth="1"/>
    <col min="2787" max="2788" width="10.875" style="83" customWidth="1"/>
    <col min="2789" max="2796" width="10.25" style="83" customWidth="1"/>
    <col min="2797" max="2797" width="8.75" style="83"/>
    <col min="2798" max="2803" width="12.25" style="83" customWidth="1"/>
    <col min="2804" max="2809" width="9.125" style="83" bestFit="1" customWidth="1"/>
    <col min="2810" max="3040" width="8.75" style="83"/>
    <col min="3041" max="3041" width="4.25" style="83" customWidth="1"/>
    <col min="3042" max="3042" width="16.25" style="83" customWidth="1"/>
    <col min="3043" max="3044" width="10.875" style="83" customWidth="1"/>
    <col min="3045" max="3052" width="10.25" style="83" customWidth="1"/>
    <col min="3053" max="3053" width="8.75" style="83"/>
    <col min="3054" max="3059" width="12.25" style="83" customWidth="1"/>
    <col min="3060" max="3065" width="9.125" style="83" bestFit="1" customWidth="1"/>
    <col min="3066" max="3296" width="8.75" style="83"/>
    <col min="3297" max="3297" width="4.25" style="83" customWidth="1"/>
    <col min="3298" max="3298" width="16.25" style="83" customWidth="1"/>
    <col min="3299" max="3300" width="10.875" style="83" customWidth="1"/>
    <col min="3301" max="3308" width="10.25" style="83" customWidth="1"/>
    <col min="3309" max="3309" width="8.75" style="83"/>
    <col min="3310" max="3315" width="12.25" style="83" customWidth="1"/>
    <col min="3316" max="3321" width="9.125" style="83" bestFit="1" customWidth="1"/>
    <col min="3322" max="3552" width="8.75" style="83"/>
    <col min="3553" max="3553" width="4.25" style="83" customWidth="1"/>
    <col min="3554" max="3554" width="16.25" style="83" customWidth="1"/>
    <col min="3555" max="3556" width="10.875" style="83" customWidth="1"/>
    <col min="3557" max="3564" width="10.25" style="83" customWidth="1"/>
    <col min="3565" max="3565" width="8.75" style="83"/>
    <col min="3566" max="3571" width="12.25" style="83" customWidth="1"/>
    <col min="3572" max="3577" width="9.125" style="83" bestFit="1" customWidth="1"/>
    <col min="3578" max="3808" width="8.75" style="83"/>
    <col min="3809" max="3809" width="4.25" style="83" customWidth="1"/>
    <col min="3810" max="3810" width="16.25" style="83" customWidth="1"/>
    <col min="3811" max="3812" width="10.875" style="83" customWidth="1"/>
    <col min="3813" max="3820" width="10.25" style="83" customWidth="1"/>
    <col min="3821" max="3821" width="8.75" style="83"/>
    <col min="3822" max="3827" width="12.25" style="83" customWidth="1"/>
    <col min="3828" max="3833" width="9.125" style="83" bestFit="1" customWidth="1"/>
    <col min="3834" max="4064" width="8.75" style="83"/>
    <col min="4065" max="4065" width="4.25" style="83" customWidth="1"/>
    <col min="4066" max="4066" width="16.25" style="83" customWidth="1"/>
    <col min="4067" max="4068" width="10.875" style="83" customWidth="1"/>
    <col min="4069" max="4076" width="10.25" style="83" customWidth="1"/>
    <col min="4077" max="4077" width="8.75" style="83"/>
    <col min="4078" max="4083" width="12.25" style="83" customWidth="1"/>
    <col min="4084" max="4089" width="9.125" style="83" bestFit="1" customWidth="1"/>
    <col min="4090" max="4320" width="8.75" style="83"/>
    <col min="4321" max="4321" width="4.25" style="83" customWidth="1"/>
    <col min="4322" max="4322" width="16.25" style="83" customWidth="1"/>
    <col min="4323" max="4324" width="10.875" style="83" customWidth="1"/>
    <col min="4325" max="4332" width="10.25" style="83" customWidth="1"/>
    <col min="4333" max="4333" width="8.75" style="83"/>
    <col min="4334" max="4339" width="12.25" style="83" customWidth="1"/>
    <col min="4340" max="4345" width="9.125" style="83" bestFit="1" customWidth="1"/>
    <col min="4346" max="4576" width="8.75" style="83"/>
    <col min="4577" max="4577" width="4.25" style="83" customWidth="1"/>
    <col min="4578" max="4578" width="16.25" style="83" customWidth="1"/>
    <col min="4579" max="4580" width="10.875" style="83" customWidth="1"/>
    <col min="4581" max="4588" width="10.25" style="83" customWidth="1"/>
    <col min="4589" max="4589" width="8.75" style="83"/>
    <col min="4590" max="4595" width="12.25" style="83" customWidth="1"/>
    <col min="4596" max="4601" width="9.125" style="83" bestFit="1" customWidth="1"/>
    <col min="4602" max="4832" width="8.75" style="83"/>
    <col min="4833" max="4833" width="4.25" style="83" customWidth="1"/>
    <col min="4834" max="4834" width="16.25" style="83" customWidth="1"/>
    <col min="4835" max="4836" width="10.875" style="83" customWidth="1"/>
    <col min="4837" max="4844" width="10.25" style="83" customWidth="1"/>
    <col min="4845" max="4845" width="8.75" style="83"/>
    <col min="4846" max="4851" width="12.25" style="83" customWidth="1"/>
    <col min="4852" max="4857" width="9.125" style="83" bestFit="1" customWidth="1"/>
    <col min="4858" max="5088" width="8.75" style="83"/>
    <col min="5089" max="5089" width="4.25" style="83" customWidth="1"/>
    <col min="5090" max="5090" width="16.25" style="83" customWidth="1"/>
    <col min="5091" max="5092" width="10.875" style="83" customWidth="1"/>
    <col min="5093" max="5100" width="10.25" style="83" customWidth="1"/>
    <col min="5101" max="5101" width="8.75" style="83"/>
    <col min="5102" max="5107" width="12.25" style="83" customWidth="1"/>
    <col min="5108" max="5113" width="9.125" style="83" bestFit="1" customWidth="1"/>
    <col min="5114" max="5344" width="8.75" style="83"/>
    <col min="5345" max="5345" width="4.25" style="83" customWidth="1"/>
    <col min="5346" max="5346" width="16.25" style="83" customWidth="1"/>
    <col min="5347" max="5348" width="10.875" style="83" customWidth="1"/>
    <col min="5349" max="5356" width="10.25" style="83" customWidth="1"/>
    <col min="5357" max="5357" width="8.75" style="83"/>
    <col min="5358" max="5363" width="12.25" style="83" customWidth="1"/>
    <col min="5364" max="5369" width="9.125" style="83" bestFit="1" customWidth="1"/>
    <col min="5370" max="5600" width="8.75" style="83"/>
    <col min="5601" max="5601" width="4.25" style="83" customWidth="1"/>
    <col min="5602" max="5602" width="16.25" style="83" customWidth="1"/>
    <col min="5603" max="5604" width="10.875" style="83" customWidth="1"/>
    <col min="5605" max="5612" width="10.25" style="83" customWidth="1"/>
    <col min="5613" max="5613" width="8.75" style="83"/>
    <col min="5614" max="5619" width="12.25" style="83" customWidth="1"/>
    <col min="5620" max="5625" width="9.125" style="83" bestFit="1" customWidth="1"/>
    <col min="5626" max="5856" width="8.75" style="83"/>
    <col min="5857" max="5857" width="4.25" style="83" customWidth="1"/>
    <col min="5858" max="5858" width="16.25" style="83" customWidth="1"/>
    <col min="5859" max="5860" width="10.875" style="83" customWidth="1"/>
    <col min="5861" max="5868" width="10.25" style="83" customWidth="1"/>
    <col min="5869" max="5869" width="8.75" style="83"/>
    <col min="5870" max="5875" width="12.25" style="83" customWidth="1"/>
    <col min="5876" max="5881" width="9.125" style="83" bestFit="1" customWidth="1"/>
    <col min="5882" max="6112" width="8.75" style="83"/>
    <col min="6113" max="6113" width="4.25" style="83" customWidth="1"/>
    <col min="6114" max="6114" width="16.25" style="83" customWidth="1"/>
    <col min="6115" max="6116" width="10.875" style="83" customWidth="1"/>
    <col min="6117" max="6124" width="10.25" style="83" customWidth="1"/>
    <col min="6125" max="6125" width="8.75" style="83"/>
    <col min="6126" max="6131" width="12.25" style="83" customWidth="1"/>
    <col min="6132" max="6137" width="9.125" style="83" bestFit="1" customWidth="1"/>
    <col min="6138" max="6368" width="8.75" style="83"/>
    <col min="6369" max="6369" width="4.25" style="83" customWidth="1"/>
    <col min="6370" max="6370" width="16.25" style="83" customWidth="1"/>
    <col min="6371" max="6372" width="10.875" style="83" customWidth="1"/>
    <col min="6373" max="6380" width="10.25" style="83" customWidth="1"/>
    <col min="6381" max="6381" width="8.75" style="83"/>
    <col min="6382" max="6387" width="12.25" style="83" customWidth="1"/>
    <col min="6388" max="6393" width="9.125" style="83" bestFit="1" customWidth="1"/>
    <col min="6394" max="6624" width="8.75" style="83"/>
    <col min="6625" max="6625" width="4.25" style="83" customWidth="1"/>
    <col min="6626" max="6626" width="16.25" style="83" customWidth="1"/>
    <col min="6627" max="6628" width="10.875" style="83" customWidth="1"/>
    <col min="6629" max="6636" width="10.25" style="83" customWidth="1"/>
    <col min="6637" max="6637" width="8.75" style="83"/>
    <col min="6638" max="6643" width="12.25" style="83" customWidth="1"/>
    <col min="6644" max="6649" width="9.125" style="83" bestFit="1" customWidth="1"/>
    <col min="6650" max="6880" width="8.75" style="83"/>
    <col min="6881" max="6881" width="4.25" style="83" customWidth="1"/>
    <col min="6882" max="6882" width="16.25" style="83" customWidth="1"/>
    <col min="6883" max="6884" width="10.875" style="83" customWidth="1"/>
    <col min="6885" max="6892" width="10.25" style="83" customWidth="1"/>
    <col min="6893" max="6893" width="8.75" style="83"/>
    <col min="6894" max="6899" width="12.25" style="83" customWidth="1"/>
    <col min="6900" max="6905" width="9.125" style="83" bestFit="1" customWidth="1"/>
    <col min="6906" max="7136" width="8.75" style="83"/>
    <col min="7137" max="7137" width="4.25" style="83" customWidth="1"/>
    <col min="7138" max="7138" width="16.25" style="83" customWidth="1"/>
    <col min="7139" max="7140" width="10.875" style="83" customWidth="1"/>
    <col min="7141" max="7148" width="10.25" style="83" customWidth="1"/>
    <col min="7149" max="7149" width="8.75" style="83"/>
    <col min="7150" max="7155" width="12.25" style="83" customWidth="1"/>
    <col min="7156" max="7161" width="9.125" style="83" bestFit="1" customWidth="1"/>
    <col min="7162" max="7392" width="8.75" style="83"/>
    <col min="7393" max="7393" width="4.25" style="83" customWidth="1"/>
    <col min="7394" max="7394" width="16.25" style="83" customWidth="1"/>
    <col min="7395" max="7396" width="10.875" style="83" customWidth="1"/>
    <col min="7397" max="7404" width="10.25" style="83" customWidth="1"/>
    <col min="7405" max="7405" width="8.75" style="83"/>
    <col min="7406" max="7411" width="12.25" style="83" customWidth="1"/>
    <col min="7412" max="7417" width="9.125" style="83" bestFit="1" customWidth="1"/>
    <col min="7418" max="7648" width="8.75" style="83"/>
    <col min="7649" max="7649" width="4.25" style="83" customWidth="1"/>
    <col min="7650" max="7650" width="16.25" style="83" customWidth="1"/>
    <col min="7651" max="7652" width="10.875" style="83" customWidth="1"/>
    <col min="7653" max="7660" width="10.25" style="83" customWidth="1"/>
    <col min="7661" max="7661" width="8.75" style="83"/>
    <col min="7662" max="7667" width="12.25" style="83" customWidth="1"/>
    <col min="7668" max="7673" width="9.125" style="83" bestFit="1" customWidth="1"/>
    <col min="7674" max="7904" width="8.75" style="83"/>
    <col min="7905" max="7905" width="4.25" style="83" customWidth="1"/>
    <col min="7906" max="7906" width="16.25" style="83" customWidth="1"/>
    <col min="7907" max="7908" width="10.875" style="83" customWidth="1"/>
    <col min="7909" max="7916" width="10.25" style="83" customWidth="1"/>
    <col min="7917" max="7917" width="8.75" style="83"/>
    <col min="7918" max="7923" width="12.25" style="83" customWidth="1"/>
    <col min="7924" max="7929" width="9.125" style="83" bestFit="1" customWidth="1"/>
    <col min="7930" max="8160" width="8.75" style="83"/>
    <col min="8161" max="8161" width="4.25" style="83" customWidth="1"/>
    <col min="8162" max="8162" width="16.25" style="83" customWidth="1"/>
    <col min="8163" max="8164" width="10.875" style="83" customWidth="1"/>
    <col min="8165" max="8172" width="10.25" style="83" customWidth="1"/>
    <col min="8173" max="8173" width="8.75" style="83"/>
    <col min="8174" max="8179" width="12.25" style="83" customWidth="1"/>
    <col min="8180" max="8185" width="9.125" style="83" bestFit="1" customWidth="1"/>
    <col min="8186" max="8416" width="8.75" style="83"/>
    <col min="8417" max="8417" width="4.25" style="83" customWidth="1"/>
    <col min="8418" max="8418" width="16.25" style="83" customWidth="1"/>
    <col min="8419" max="8420" width="10.875" style="83" customWidth="1"/>
    <col min="8421" max="8428" width="10.25" style="83" customWidth="1"/>
    <col min="8429" max="8429" width="8.75" style="83"/>
    <col min="8430" max="8435" width="12.25" style="83" customWidth="1"/>
    <col min="8436" max="8441" width="9.125" style="83" bestFit="1" customWidth="1"/>
    <col min="8442" max="8672" width="8.75" style="83"/>
    <col min="8673" max="8673" width="4.25" style="83" customWidth="1"/>
    <col min="8674" max="8674" width="16.25" style="83" customWidth="1"/>
    <col min="8675" max="8676" width="10.875" style="83" customWidth="1"/>
    <col min="8677" max="8684" width="10.25" style="83" customWidth="1"/>
    <col min="8685" max="8685" width="8.75" style="83"/>
    <col min="8686" max="8691" width="12.25" style="83" customWidth="1"/>
    <col min="8692" max="8697" width="9.125" style="83" bestFit="1" customWidth="1"/>
    <col min="8698" max="8928" width="8.75" style="83"/>
    <col min="8929" max="8929" width="4.25" style="83" customWidth="1"/>
    <col min="8930" max="8930" width="16.25" style="83" customWidth="1"/>
    <col min="8931" max="8932" width="10.875" style="83" customWidth="1"/>
    <col min="8933" max="8940" width="10.25" style="83" customWidth="1"/>
    <col min="8941" max="8941" width="8.75" style="83"/>
    <col min="8942" max="8947" width="12.25" style="83" customWidth="1"/>
    <col min="8948" max="8953" width="9.125" style="83" bestFit="1" customWidth="1"/>
    <col min="8954" max="9184" width="8.75" style="83"/>
    <col min="9185" max="9185" width="4.25" style="83" customWidth="1"/>
    <col min="9186" max="9186" width="16.25" style="83" customWidth="1"/>
    <col min="9187" max="9188" width="10.875" style="83" customWidth="1"/>
    <col min="9189" max="9196" width="10.25" style="83" customWidth="1"/>
    <col min="9197" max="9197" width="8.75" style="83"/>
    <col min="9198" max="9203" width="12.25" style="83" customWidth="1"/>
    <col min="9204" max="9209" width="9.125" style="83" bestFit="1" customWidth="1"/>
    <col min="9210" max="9440" width="8.75" style="83"/>
    <col min="9441" max="9441" width="4.25" style="83" customWidth="1"/>
    <col min="9442" max="9442" width="16.25" style="83" customWidth="1"/>
    <col min="9443" max="9444" width="10.875" style="83" customWidth="1"/>
    <col min="9445" max="9452" width="10.25" style="83" customWidth="1"/>
    <col min="9453" max="9453" width="8.75" style="83"/>
    <col min="9454" max="9459" width="12.25" style="83" customWidth="1"/>
    <col min="9460" max="9465" width="9.125" style="83" bestFit="1" customWidth="1"/>
    <col min="9466" max="9696" width="8.75" style="83"/>
    <col min="9697" max="9697" width="4.25" style="83" customWidth="1"/>
    <col min="9698" max="9698" width="16.25" style="83" customWidth="1"/>
    <col min="9699" max="9700" width="10.875" style="83" customWidth="1"/>
    <col min="9701" max="9708" width="10.25" style="83" customWidth="1"/>
    <col min="9709" max="9709" width="8.75" style="83"/>
    <col min="9710" max="9715" width="12.25" style="83" customWidth="1"/>
    <col min="9716" max="9721" width="9.125" style="83" bestFit="1" customWidth="1"/>
    <col min="9722" max="9952" width="8.75" style="83"/>
    <col min="9953" max="9953" width="4.25" style="83" customWidth="1"/>
    <col min="9954" max="9954" width="16.25" style="83" customWidth="1"/>
    <col min="9955" max="9956" width="10.875" style="83" customWidth="1"/>
    <col min="9957" max="9964" width="10.25" style="83" customWidth="1"/>
    <col min="9965" max="9965" width="8.75" style="83"/>
    <col min="9966" max="9971" width="12.25" style="83" customWidth="1"/>
    <col min="9972" max="9977" width="9.125" style="83" bestFit="1" customWidth="1"/>
    <col min="9978" max="10208" width="8.75" style="83"/>
    <col min="10209" max="10209" width="4.25" style="83" customWidth="1"/>
    <col min="10210" max="10210" width="16.25" style="83" customWidth="1"/>
    <col min="10211" max="10212" width="10.875" style="83" customWidth="1"/>
    <col min="10213" max="10220" width="10.25" style="83" customWidth="1"/>
    <col min="10221" max="10221" width="8.75" style="83"/>
    <col min="10222" max="10227" width="12.25" style="83" customWidth="1"/>
    <col min="10228" max="10233" width="9.125" style="83" bestFit="1" customWidth="1"/>
    <col min="10234" max="10464" width="8.75" style="83"/>
    <col min="10465" max="10465" width="4.25" style="83" customWidth="1"/>
    <col min="10466" max="10466" width="16.25" style="83" customWidth="1"/>
    <col min="10467" max="10468" width="10.875" style="83" customWidth="1"/>
    <col min="10469" max="10476" width="10.25" style="83" customWidth="1"/>
    <col min="10477" max="10477" width="8.75" style="83"/>
    <col min="10478" max="10483" width="12.25" style="83" customWidth="1"/>
    <col min="10484" max="10489" width="9.125" style="83" bestFit="1" customWidth="1"/>
    <col min="10490" max="10720" width="8.75" style="83"/>
    <col min="10721" max="10721" width="4.25" style="83" customWidth="1"/>
    <col min="10722" max="10722" width="16.25" style="83" customWidth="1"/>
    <col min="10723" max="10724" width="10.875" style="83" customWidth="1"/>
    <col min="10725" max="10732" width="10.25" style="83" customWidth="1"/>
    <col min="10733" max="10733" width="8.75" style="83"/>
    <col min="10734" max="10739" width="12.25" style="83" customWidth="1"/>
    <col min="10740" max="10745" width="9.125" style="83" bestFit="1" customWidth="1"/>
    <col min="10746" max="10976" width="8.75" style="83"/>
    <col min="10977" max="10977" width="4.25" style="83" customWidth="1"/>
    <col min="10978" max="10978" width="16.25" style="83" customWidth="1"/>
    <col min="10979" max="10980" width="10.875" style="83" customWidth="1"/>
    <col min="10981" max="10988" width="10.25" style="83" customWidth="1"/>
    <col min="10989" max="10989" width="8.75" style="83"/>
    <col min="10990" max="10995" width="12.25" style="83" customWidth="1"/>
    <col min="10996" max="11001" width="9.125" style="83" bestFit="1" customWidth="1"/>
    <col min="11002" max="11232" width="8.75" style="83"/>
    <col min="11233" max="11233" width="4.25" style="83" customWidth="1"/>
    <col min="11234" max="11234" width="16.25" style="83" customWidth="1"/>
    <col min="11235" max="11236" width="10.875" style="83" customWidth="1"/>
    <col min="11237" max="11244" width="10.25" style="83" customWidth="1"/>
    <col min="11245" max="11245" width="8.75" style="83"/>
    <col min="11246" max="11251" width="12.25" style="83" customWidth="1"/>
    <col min="11252" max="11257" width="9.125" style="83" bestFit="1" customWidth="1"/>
    <col min="11258" max="11488" width="8.75" style="83"/>
    <col min="11489" max="11489" width="4.25" style="83" customWidth="1"/>
    <col min="11490" max="11490" width="16.25" style="83" customWidth="1"/>
    <col min="11491" max="11492" width="10.875" style="83" customWidth="1"/>
    <col min="11493" max="11500" width="10.25" style="83" customWidth="1"/>
    <col min="11501" max="11501" width="8.75" style="83"/>
    <col min="11502" max="11507" width="12.25" style="83" customWidth="1"/>
    <col min="11508" max="11513" width="9.125" style="83" bestFit="1" customWidth="1"/>
    <col min="11514" max="11744" width="8.75" style="83"/>
    <col min="11745" max="11745" width="4.25" style="83" customWidth="1"/>
    <col min="11746" max="11746" width="16.25" style="83" customWidth="1"/>
    <col min="11747" max="11748" width="10.875" style="83" customWidth="1"/>
    <col min="11749" max="11756" width="10.25" style="83" customWidth="1"/>
    <col min="11757" max="11757" width="8.75" style="83"/>
    <col min="11758" max="11763" width="12.25" style="83" customWidth="1"/>
    <col min="11764" max="11769" width="9.125" style="83" bestFit="1" customWidth="1"/>
    <col min="11770" max="12000" width="8.75" style="83"/>
    <col min="12001" max="12001" width="4.25" style="83" customWidth="1"/>
    <col min="12002" max="12002" width="16.25" style="83" customWidth="1"/>
    <col min="12003" max="12004" width="10.875" style="83" customWidth="1"/>
    <col min="12005" max="12012" width="10.25" style="83" customWidth="1"/>
    <col min="12013" max="12013" width="8.75" style="83"/>
    <col min="12014" max="12019" width="12.25" style="83" customWidth="1"/>
    <col min="12020" max="12025" width="9.125" style="83" bestFit="1" customWidth="1"/>
    <col min="12026" max="12256" width="8.75" style="83"/>
    <col min="12257" max="12257" width="4.25" style="83" customWidth="1"/>
    <col min="12258" max="12258" width="16.25" style="83" customWidth="1"/>
    <col min="12259" max="12260" width="10.875" style="83" customWidth="1"/>
    <col min="12261" max="12268" width="10.25" style="83" customWidth="1"/>
    <col min="12269" max="12269" width="8.75" style="83"/>
    <col min="12270" max="12275" width="12.25" style="83" customWidth="1"/>
    <col min="12276" max="12281" width="9.125" style="83" bestFit="1" customWidth="1"/>
    <col min="12282" max="12512" width="8.75" style="83"/>
    <col min="12513" max="12513" width="4.25" style="83" customWidth="1"/>
    <col min="12514" max="12514" width="16.25" style="83" customWidth="1"/>
    <col min="12515" max="12516" width="10.875" style="83" customWidth="1"/>
    <col min="12517" max="12524" width="10.25" style="83" customWidth="1"/>
    <col min="12525" max="12525" width="8.75" style="83"/>
    <col min="12526" max="12531" width="12.25" style="83" customWidth="1"/>
    <col min="12532" max="12537" width="9.125" style="83" bestFit="1" customWidth="1"/>
    <col min="12538" max="12768" width="8.75" style="83"/>
    <col min="12769" max="12769" width="4.25" style="83" customWidth="1"/>
    <col min="12770" max="12770" width="16.25" style="83" customWidth="1"/>
    <col min="12771" max="12772" width="10.875" style="83" customWidth="1"/>
    <col min="12773" max="12780" width="10.25" style="83" customWidth="1"/>
    <col min="12781" max="12781" width="8.75" style="83"/>
    <col min="12782" max="12787" width="12.25" style="83" customWidth="1"/>
    <col min="12788" max="12793" width="9.125" style="83" bestFit="1" customWidth="1"/>
    <col min="12794" max="13024" width="8.75" style="83"/>
    <col min="13025" max="13025" width="4.25" style="83" customWidth="1"/>
    <col min="13026" max="13026" width="16.25" style="83" customWidth="1"/>
    <col min="13027" max="13028" width="10.875" style="83" customWidth="1"/>
    <col min="13029" max="13036" width="10.25" style="83" customWidth="1"/>
    <col min="13037" max="13037" width="8.75" style="83"/>
    <col min="13038" max="13043" width="12.25" style="83" customWidth="1"/>
    <col min="13044" max="13049" width="9.125" style="83" bestFit="1" customWidth="1"/>
    <col min="13050" max="13280" width="8.75" style="83"/>
    <col min="13281" max="13281" width="4.25" style="83" customWidth="1"/>
    <col min="13282" max="13282" width="16.25" style="83" customWidth="1"/>
    <col min="13283" max="13284" width="10.875" style="83" customWidth="1"/>
    <col min="13285" max="13292" width="10.25" style="83" customWidth="1"/>
    <col min="13293" max="13293" width="8.75" style="83"/>
    <col min="13294" max="13299" width="12.25" style="83" customWidth="1"/>
    <col min="13300" max="13305" width="9.125" style="83" bestFit="1" customWidth="1"/>
    <col min="13306" max="13536" width="8.75" style="83"/>
    <col min="13537" max="13537" width="4.25" style="83" customWidth="1"/>
    <col min="13538" max="13538" width="16.25" style="83" customWidth="1"/>
    <col min="13539" max="13540" width="10.875" style="83" customWidth="1"/>
    <col min="13541" max="13548" width="10.25" style="83" customWidth="1"/>
    <col min="13549" max="13549" width="8.75" style="83"/>
    <col min="13550" max="13555" width="12.25" style="83" customWidth="1"/>
    <col min="13556" max="13561" width="9.125" style="83" bestFit="1" customWidth="1"/>
    <col min="13562" max="13792" width="8.75" style="83"/>
    <col min="13793" max="13793" width="4.25" style="83" customWidth="1"/>
    <col min="13794" max="13794" width="16.25" style="83" customWidth="1"/>
    <col min="13795" max="13796" width="10.875" style="83" customWidth="1"/>
    <col min="13797" max="13804" width="10.25" style="83" customWidth="1"/>
    <col min="13805" max="13805" width="8.75" style="83"/>
    <col min="13806" max="13811" width="12.25" style="83" customWidth="1"/>
    <col min="13812" max="13817" width="9.125" style="83" bestFit="1" customWidth="1"/>
    <col min="13818" max="14048" width="8.75" style="83"/>
    <col min="14049" max="14049" width="4.25" style="83" customWidth="1"/>
    <col min="14050" max="14050" width="16.25" style="83" customWidth="1"/>
    <col min="14051" max="14052" width="10.875" style="83" customWidth="1"/>
    <col min="14053" max="14060" width="10.25" style="83" customWidth="1"/>
    <col min="14061" max="14061" width="8.75" style="83"/>
    <col min="14062" max="14067" width="12.25" style="83" customWidth="1"/>
    <col min="14068" max="14073" width="9.125" style="83" bestFit="1" customWidth="1"/>
    <col min="14074" max="14304" width="8.75" style="83"/>
    <col min="14305" max="14305" width="4.25" style="83" customWidth="1"/>
    <col min="14306" max="14306" width="16.25" style="83" customWidth="1"/>
    <col min="14307" max="14308" width="10.875" style="83" customWidth="1"/>
    <col min="14309" max="14316" width="10.25" style="83" customWidth="1"/>
    <col min="14317" max="14317" width="8.75" style="83"/>
    <col min="14318" max="14323" width="12.25" style="83" customWidth="1"/>
    <col min="14324" max="14329" width="9.125" style="83" bestFit="1" customWidth="1"/>
    <col min="14330" max="14560" width="8.75" style="83"/>
    <col min="14561" max="14561" width="4.25" style="83" customWidth="1"/>
    <col min="14562" max="14562" width="16.25" style="83" customWidth="1"/>
    <col min="14563" max="14564" width="10.875" style="83" customWidth="1"/>
    <col min="14565" max="14572" width="10.25" style="83" customWidth="1"/>
    <col min="14573" max="14573" width="8.75" style="83"/>
    <col min="14574" max="14579" width="12.25" style="83" customWidth="1"/>
    <col min="14580" max="14585" width="9.125" style="83" bestFit="1" customWidth="1"/>
    <col min="14586" max="14816" width="8.75" style="83"/>
    <col min="14817" max="14817" width="4.25" style="83" customWidth="1"/>
    <col min="14818" max="14818" width="16.25" style="83" customWidth="1"/>
    <col min="14819" max="14820" width="10.875" style="83" customWidth="1"/>
    <col min="14821" max="14828" width="10.25" style="83" customWidth="1"/>
    <col min="14829" max="14829" width="8.75" style="83"/>
    <col min="14830" max="14835" width="12.25" style="83" customWidth="1"/>
    <col min="14836" max="14841" width="9.125" style="83" bestFit="1" customWidth="1"/>
    <col min="14842" max="15072" width="8.75" style="83"/>
    <col min="15073" max="15073" width="4.25" style="83" customWidth="1"/>
    <col min="15074" max="15074" width="16.25" style="83" customWidth="1"/>
    <col min="15075" max="15076" width="10.875" style="83" customWidth="1"/>
    <col min="15077" max="15084" width="10.25" style="83" customWidth="1"/>
    <col min="15085" max="15085" width="8.75" style="83"/>
    <col min="15086" max="15091" width="12.25" style="83" customWidth="1"/>
    <col min="15092" max="15097" width="9.125" style="83" bestFit="1" customWidth="1"/>
    <col min="15098" max="15328" width="8.75" style="83"/>
    <col min="15329" max="15329" width="4.25" style="83" customWidth="1"/>
    <col min="15330" max="15330" width="16.25" style="83" customWidth="1"/>
    <col min="15331" max="15332" width="10.875" style="83" customWidth="1"/>
    <col min="15333" max="15340" width="10.25" style="83" customWidth="1"/>
    <col min="15341" max="15341" width="8.75" style="83"/>
    <col min="15342" max="15347" width="12.25" style="83" customWidth="1"/>
    <col min="15348" max="15353" width="9.125" style="83" bestFit="1" customWidth="1"/>
    <col min="15354" max="15584" width="8.75" style="83"/>
    <col min="15585" max="15585" width="4.25" style="83" customWidth="1"/>
    <col min="15586" max="15586" width="16.25" style="83" customWidth="1"/>
    <col min="15587" max="15588" width="10.875" style="83" customWidth="1"/>
    <col min="15589" max="15596" width="10.25" style="83" customWidth="1"/>
    <col min="15597" max="15597" width="8.75" style="83"/>
    <col min="15598" max="15603" width="12.25" style="83" customWidth="1"/>
    <col min="15604" max="15609" width="9.125" style="83" bestFit="1" customWidth="1"/>
    <col min="15610" max="15840" width="8.75" style="83"/>
    <col min="15841" max="15841" width="4.25" style="83" customWidth="1"/>
    <col min="15842" max="15842" width="16.25" style="83" customWidth="1"/>
    <col min="15843" max="15844" width="10.875" style="83" customWidth="1"/>
    <col min="15845" max="15852" width="10.25" style="83" customWidth="1"/>
    <col min="15853" max="15853" width="8.75" style="83"/>
    <col min="15854" max="15859" width="12.25" style="83" customWidth="1"/>
    <col min="15860" max="15865" width="9.125" style="83" bestFit="1" customWidth="1"/>
    <col min="15866" max="16096" width="8.75" style="83"/>
    <col min="16097" max="16097" width="4.25" style="83" customWidth="1"/>
    <col min="16098" max="16098" width="16.25" style="83" customWidth="1"/>
    <col min="16099" max="16100" width="10.875" style="83" customWidth="1"/>
    <col min="16101" max="16108" width="10.25" style="83" customWidth="1"/>
    <col min="16109" max="16109" width="8.75" style="83"/>
    <col min="16110" max="16115" width="12.25" style="83" customWidth="1"/>
    <col min="16116" max="16121" width="9.125" style="83" bestFit="1" customWidth="1"/>
    <col min="16122" max="16384" width="8.75" style="83"/>
  </cols>
  <sheetData>
    <row r="1" spans="1:21" ht="23.1" customHeight="1" x14ac:dyDescent="0.25">
      <c r="A1" s="261" t="s">
        <v>549</v>
      </c>
      <c r="B1" s="261"/>
      <c r="C1" s="261"/>
      <c r="D1" s="261"/>
      <c r="E1" s="261"/>
      <c r="F1" s="261"/>
      <c r="G1" s="261"/>
      <c r="H1" s="261"/>
      <c r="I1" s="261"/>
      <c r="J1" s="261"/>
      <c r="K1" s="261"/>
      <c r="L1" s="261"/>
      <c r="M1" s="89"/>
      <c r="N1" s="89"/>
    </row>
    <row r="2" spans="1:21" ht="23.1" customHeight="1" x14ac:dyDescent="0.25">
      <c r="A2" s="263" t="s">
        <v>548</v>
      </c>
      <c r="B2" s="263"/>
      <c r="C2" s="263"/>
      <c r="D2" s="263"/>
      <c r="E2" s="263"/>
      <c r="F2" s="263"/>
      <c r="G2" s="263"/>
      <c r="H2" s="263"/>
      <c r="I2" s="263"/>
      <c r="J2" s="263"/>
      <c r="K2" s="263"/>
      <c r="L2" s="263"/>
      <c r="M2" s="88"/>
    </row>
    <row r="3" spans="1:21" ht="23.1" customHeight="1" x14ac:dyDescent="0.25">
      <c r="A3" s="269" t="s">
        <v>796</v>
      </c>
      <c r="B3" s="269"/>
      <c r="C3" s="269"/>
      <c r="D3" s="269"/>
      <c r="E3" s="269"/>
      <c r="F3" s="269"/>
      <c r="G3" s="269"/>
      <c r="H3" s="269"/>
      <c r="I3" s="269"/>
      <c r="J3" s="269"/>
      <c r="K3" s="269"/>
      <c r="L3" s="269"/>
      <c r="M3" s="87"/>
      <c r="N3" s="87"/>
      <c r="O3" s="87"/>
      <c r="P3" s="87"/>
      <c r="Q3" s="87"/>
      <c r="R3" s="87"/>
      <c r="S3" s="87"/>
      <c r="T3" s="87"/>
      <c r="U3" s="87"/>
    </row>
    <row r="4" spans="1:21" ht="15.6" customHeight="1" x14ac:dyDescent="0.25">
      <c r="J4" s="266" t="s">
        <v>469</v>
      </c>
      <c r="K4" s="266"/>
      <c r="L4" s="266"/>
    </row>
    <row r="5" spans="1:21" s="154" customFormat="1" ht="27.75" customHeight="1" x14ac:dyDescent="0.25">
      <c r="A5" s="271" t="s">
        <v>44</v>
      </c>
      <c r="B5" s="271" t="s">
        <v>257</v>
      </c>
      <c r="C5" s="272" t="s">
        <v>271</v>
      </c>
      <c r="D5" s="272" t="s">
        <v>272</v>
      </c>
      <c r="E5" s="272"/>
      <c r="F5" s="272"/>
      <c r="G5" s="272" t="s">
        <v>273</v>
      </c>
      <c r="H5" s="272"/>
      <c r="I5" s="272"/>
      <c r="J5" s="271" t="s">
        <v>274</v>
      </c>
      <c r="K5" s="271"/>
      <c r="L5" s="271"/>
    </row>
    <row r="6" spans="1:21" s="154" customFormat="1" ht="28.5" customHeight="1" x14ac:dyDescent="0.25">
      <c r="A6" s="271"/>
      <c r="B6" s="271"/>
      <c r="C6" s="272"/>
      <c r="D6" s="90" t="s">
        <v>275</v>
      </c>
      <c r="E6" s="90" t="s">
        <v>276</v>
      </c>
      <c r="F6" s="90" t="s">
        <v>277</v>
      </c>
      <c r="G6" s="90" t="s">
        <v>275</v>
      </c>
      <c r="H6" s="90" t="s">
        <v>276</v>
      </c>
      <c r="I6" s="90" t="s">
        <v>277</v>
      </c>
      <c r="J6" s="91" t="s">
        <v>275</v>
      </c>
      <c r="K6" s="91" t="s">
        <v>276</v>
      </c>
      <c r="L6" s="91" t="s">
        <v>277</v>
      </c>
    </row>
    <row r="7" spans="1:21" s="147" customFormat="1" ht="24" customHeight="1" x14ac:dyDescent="0.25">
      <c r="A7" s="150">
        <v>1</v>
      </c>
      <c r="B7" s="151" t="s">
        <v>259</v>
      </c>
      <c r="C7" s="152">
        <v>122500</v>
      </c>
      <c r="D7" s="152">
        <f>SUM(E7:F7)</f>
        <v>115353</v>
      </c>
      <c r="E7" s="152">
        <v>56135</v>
      </c>
      <c r="F7" s="152">
        <v>59218</v>
      </c>
      <c r="G7" s="152">
        <f>SUM(H7:I7)</f>
        <v>423376</v>
      </c>
      <c r="H7" s="152">
        <v>334591</v>
      </c>
      <c r="I7" s="152">
        <v>88785</v>
      </c>
      <c r="J7" s="151">
        <f t="shared" ref="J7:J19" si="0">SUM(K7:L7)</f>
        <v>538729</v>
      </c>
      <c r="K7" s="151">
        <f t="shared" ref="K7:L19" si="1">+E7+H7</f>
        <v>390726</v>
      </c>
      <c r="L7" s="151">
        <f t="shared" si="1"/>
        <v>148003</v>
      </c>
    </row>
    <row r="8" spans="1:21" s="147" customFormat="1" ht="24" customHeight="1" x14ac:dyDescent="0.25">
      <c r="A8" s="150">
        <f t="shared" ref="A8:A19" si="2">+A7+1</f>
        <v>2</v>
      </c>
      <c r="B8" s="151" t="s">
        <v>538</v>
      </c>
      <c r="C8" s="152">
        <v>480501</v>
      </c>
      <c r="D8" s="152">
        <f>SUM(E8:F8)</f>
        <v>314687</v>
      </c>
      <c r="E8" s="152">
        <v>275897</v>
      </c>
      <c r="F8" s="152">
        <v>38790</v>
      </c>
      <c r="G8" s="152">
        <f>SUM(H8:I8)</f>
        <v>142371</v>
      </c>
      <c r="H8" s="152">
        <v>108907</v>
      </c>
      <c r="I8" s="152">
        <v>33464</v>
      </c>
      <c r="J8" s="151">
        <f>SUM(K8:L8)</f>
        <v>457058</v>
      </c>
      <c r="K8" s="151">
        <f>+E8+H8</f>
        <v>384804</v>
      </c>
      <c r="L8" s="151">
        <f>+F8+I8</f>
        <v>72254</v>
      </c>
    </row>
    <row r="9" spans="1:21" s="147" customFormat="1" ht="24" customHeight="1" x14ac:dyDescent="0.25">
      <c r="A9" s="150">
        <f t="shared" si="2"/>
        <v>3</v>
      </c>
      <c r="B9" s="151" t="s">
        <v>260</v>
      </c>
      <c r="C9" s="152">
        <v>148000</v>
      </c>
      <c r="D9" s="152">
        <f t="shared" ref="D9:D19" si="3">SUM(E9:F9)</f>
        <v>134357</v>
      </c>
      <c r="E9" s="152">
        <v>78942</v>
      </c>
      <c r="F9" s="152">
        <v>55415</v>
      </c>
      <c r="G9" s="152">
        <f t="shared" ref="G9:G19" si="4">SUM(H9:I9)</f>
        <v>487963</v>
      </c>
      <c r="H9" s="152">
        <v>378033</v>
      </c>
      <c r="I9" s="152">
        <v>109930</v>
      </c>
      <c r="J9" s="151">
        <f t="shared" si="0"/>
        <v>622320</v>
      </c>
      <c r="K9" s="151">
        <f t="shared" si="1"/>
        <v>456975</v>
      </c>
      <c r="L9" s="151">
        <f t="shared" si="1"/>
        <v>165345</v>
      </c>
    </row>
    <row r="10" spans="1:21" s="147" customFormat="1" ht="24" customHeight="1" x14ac:dyDescent="0.25">
      <c r="A10" s="150">
        <f t="shared" si="2"/>
        <v>4</v>
      </c>
      <c r="B10" s="151" t="s">
        <v>261</v>
      </c>
      <c r="C10" s="152">
        <v>804500</v>
      </c>
      <c r="D10" s="152">
        <f t="shared" si="3"/>
        <v>527455</v>
      </c>
      <c r="E10" s="152">
        <v>453385</v>
      </c>
      <c r="F10" s="152">
        <v>74070</v>
      </c>
      <c r="G10" s="152">
        <f t="shared" si="4"/>
        <v>63182</v>
      </c>
      <c r="H10" s="152">
        <v>20021</v>
      </c>
      <c r="I10" s="152">
        <v>43161</v>
      </c>
      <c r="J10" s="151">
        <f t="shared" si="0"/>
        <v>590637</v>
      </c>
      <c r="K10" s="151">
        <f t="shared" si="1"/>
        <v>473406</v>
      </c>
      <c r="L10" s="151">
        <f t="shared" si="1"/>
        <v>117231</v>
      </c>
    </row>
    <row r="11" spans="1:21" s="147" customFormat="1" ht="24" customHeight="1" x14ac:dyDescent="0.25">
      <c r="A11" s="150">
        <f t="shared" si="2"/>
        <v>5</v>
      </c>
      <c r="B11" s="151" t="s">
        <v>262</v>
      </c>
      <c r="C11" s="152">
        <v>370000</v>
      </c>
      <c r="D11" s="152">
        <f t="shared" si="3"/>
        <v>157050</v>
      </c>
      <c r="E11" s="152">
        <v>101187</v>
      </c>
      <c r="F11" s="152">
        <v>55863</v>
      </c>
      <c r="G11" s="152">
        <f t="shared" si="4"/>
        <v>433312</v>
      </c>
      <c r="H11" s="152">
        <v>320094</v>
      </c>
      <c r="I11" s="152">
        <v>113218</v>
      </c>
      <c r="J11" s="151">
        <f t="shared" si="0"/>
        <v>590362</v>
      </c>
      <c r="K11" s="151">
        <f t="shared" si="1"/>
        <v>421281</v>
      </c>
      <c r="L11" s="151">
        <f t="shared" si="1"/>
        <v>169081</v>
      </c>
    </row>
    <row r="12" spans="1:21" s="147" customFormat="1" ht="24" customHeight="1" x14ac:dyDescent="0.25">
      <c r="A12" s="150">
        <f t="shared" si="2"/>
        <v>6</v>
      </c>
      <c r="B12" s="151" t="s">
        <v>263</v>
      </c>
      <c r="C12" s="152">
        <v>125000</v>
      </c>
      <c r="D12" s="152">
        <f t="shared" si="3"/>
        <v>112022</v>
      </c>
      <c r="E12" s="152">
        <v>70977</v>
      </c>
      <c r="F12" s="152">
        <v>41045</v>
      </c>
      <c r="G12" s="152">
        <f t="shared" si="4"/>
        <v>447897</v>
      </c>
      <c r="H12" s="152">
        <v>360563</v>
      </c>
      <c r="I12" s="152">
        <v>87334</v>
      </c>
      <c r="J12" s="151">
        <f t="shared" si="0"/>
        <v>559919</v>
      </c>
      <c r="K12" s="151">
        <f t="shared" si="1"/>
        <v>431540</v>
      </c>
      <c r="L12" s="151">
        <f t="shared" si="1"/>
        <v>128379</v>
      </c>
    </row>
    <row r="13" spans="1:21" s="147" customFormat="1" ht="24" customHeight="1" x14ac:dyDescent="0.25">
      <c r="A13" s="150">
        <f t="shared" si="2"/>
        <v>7</v>
      </c>
      <c r="B13" s="151" t="s">
        <v>264</v>
      </c>
      <c r="C13" s="152">
        <v>125400</v>
      </c>
      <c r="D13" s="152">
        <f t="shared" si="3"/>
        <v>117728</v>
      </c>
      <c r="E13" s="152">
        <v>61348</v>
      </c>
      <c r="F13" s="152">
        <v>56380</v>
      </c>
      <c r="G13" s="152">
        <f t="shared" si="4"/>
        <v>376506</v>
      </c>
      <c r="H13" s="152">
        <v>285291</v>
      </c>
      <c r="I13" s="152">
        <v>91215</v>
      </c>
      <c r="J13" s="151">
        <f t="shared" si="0"/>
        <v>494234</v>
      </c>
      <c r="K13" s="151">
        <f t="shared" si="1"/>
        <v>346639</v>
      </c>
      <c r="L13" s="151">
        <f t="shared" si="1"/>
        <v>147595</v>
      </c>
    </row>
    <row r="14" spans="1:21" s="147" customFormat="1" ht="24" customHeight="1" x14ac:dyDescent="0.25">
      <c r="A14" s="150">
        <f t="shared" si="2"/>
        <v>8</v>
      </c>
      <c r="B14" s="151" t="s">
        <v>265</v>
      </c>
      <c r="C14" s="152">
        <v>119000</v>
      </c>
      <c r="D14" s="152">
        <f t="shared" si="3"/>
        <v>106384</v>
      </c>
      <c r="E14" s="152">
        <v>55932</v>
      </c>
      <c r="F14" s="152">
        <v>50452</v>
      </c>
      <c r="G14" s="152">
        <f t="shared" si="4"/>
        <v>324730</v>
      </c>
      <c r="H14" s="152">
        <v>252672</v>
      </c>
      <c r="I14" s="152">
        <v>72058</v>
      </c>
      <c r="J14" s="151">
        <f t="shared" si="0"/>
        <v>431114</v>
      </c>
      <c r="K14" s="151">
        <f t="shared" si="1"/>
        <v>308604</v>
      </c>
      <c r="L14" s="151">
        <f t="shared" si="1"/>
        <v>122510</v>
      </c>
    </row>
    <row r="15" spans="1:21" s="147" customFormat="1" ht="24" customHeight="1" x14ac:dyDescent="0.25">
      <c r="A15" s="150">
        <f t="shared" si="2"/>
        <v>9</v>
      </c>
      <c r="B15" s="151" t="s">
        <v>266</v>
      </c>
      <c r="C15" s="152">
        <v>83999</v>
      </c>
      <c r="D15" s="152">
        <f t="shared" si="3"/>
        <v>76358</v>
      </c>
      <c r="E15" s="152">
        <v>42878</v>
      </c>
      <c r="F15" s="152">
        <v>33480</v>
      </c>
      <c r="G15" s="152">
        <f t="shared" si="4"/>
        <v>535410</v>
      </c>
      <c r="H15" s="152">
        <v>395839</v>
      </c>
      <c r="I15" s="152">
        <v>139571</v>
      </c>
      <c r="J15" s="151">
        <f t="shared" si="0"/>
        <v>611768</v>
      </c>
      <c r="K15" s="151">
        <f>+E15+H15</f>
        <v>438717</v>
      </c>
      <c r="L15" s="151">
        <f t="shared" si="1"/>
        <v>173051</v>
      </c>
    </row>
    <row r="16" spans="1:21" s="147" customFormat="1" ht="24" customHeight="1" x14ac:dyDescent="0.25">
      <c r="A16" s="150">
        <f t="shared" si="2"/>
        <v>10</v>
      </c>
      <c r="B16" s="151" t="s">
        <v>267</v>
      </c>
      <c r="C16" s="152">
        <v>68000</v>
      </c>
      <c r="D16" s="152">
        <f t="shared" si="3"/>
        <v>63356</v>
      </c>
      <c r="E16" s="152">
        <v>36918</v>
      </c>
      <c r="F16" s="152">
        <v>26438</v>
      </c>
      <c r="G16" s="152">
        <f t="shared" si="4"/>
        <v>490616</v>
      </c>
      <c r="H16" s="152">
        <v>389253</v>
      </c>
      <c r="I16" s="152">
        <v>101363</v>
      </c>
      <c r="J16" s="151">
        <f t="shared" si="0"/>
        <v>553972</v>
      </c>
      <c r="K16" s="151">
        <f t="shared" si="1"/>
        <v>426171</v>
      </c>
      <c r="L16" s="151">
        <f t="shared" si="1"/>
        <v>127801</v>
      </c>
    </row>
    <row r="17" spans="1:12" s="147" customFormat="1" ht="24" customHeight="1" x14ac:dyDescent="0.25">
      <c r="A17" s="150">
        <f t="shared" si="2"/>
        <v>11</v>
      </c>
      <c r="B17" s="151" t="s">
        <v>268</v>
      </c>
      <c r="C17" s="152">
        <v>112800</v>
      </c>
      <c r="D17" s="152">
        <f t="shared" si="3"/>
        <v>78413</v>
      </c>
      <c r="E17" s="152">
        <v>72747</v>
      </c>
      <c r="F17" s="152">
        <v>5666</v>
      </c>
      <c r="G17" s="152">
        <f t="shared" si="4"/>
        <v>143548</v>
      </c>
      <c r="H17" s="152">
        <v>121140</v>
      </c>
      <c r="I17" s="152">
        <v>22408</v>
      </c>
      <c r="J17" s="151">
        <f t="shared" si="0"/>
        <v>221961</v>
      </c>
      <c r="K17" s="151">
        <f t="shared" si="1"/>
        <v>193887</v>
      </c>
      <c r="L17" s="151">
        <f t="shared" si="1"/>
        <v>28074</v>
      </c>
    </row>
    <row r="18" spans="1:12" s="147" customFormat="1" ht="24" customHeight="1" x14ac:dyDescent="0.25">
      <c r="A18" s="150">
        <f t="shared" si="2"/>
        <v>12</v>
      </c>
      <c r="B18" s="151" t="s">
        <v>269</v>
      </c>
      <c r="C18" s="152">
        <v>37000</v>
      </c>
      <c r="D18" s="152">
        <f t="shared" si="3"/>
        <v>33110</v>
      </c>
      <c r="E18" s="152">
        <v>20981</v>
      </c>
      <c r="F18" s="152">
        <v>12129</v>
      </c>
      <c r="G18" s="152">
        <f t="shared" si="4"/>
        <v>250237</v>
      </c>
      <c r="H18" s="152">
        <v>195614</v>
      </c>
      <c r="I18" s="152">
        <v>54623</v>
      </c>
      <c r="J18" s="151">
        <f t="shared" si="0"/>
        <v>283347</v>
      </c>
      <c r="K18" s="151">
        <f t="shared" si="1"/>
        <v>216595</v>
      </c>
      <c r="L18" s="151">
        <f t="shared" si="1"/>
        <v>66752</v>
      </c>
    </row>
    <row r="19" spans="1:12" s="147" customFormat="1" ht="24" customHeight="1" x14ac:dyDescent="0.25">
      <c r="A19" s="150">
        <f t="shared" si="2"/>
        <v>13</v>
      </c>
      <c r="B19" s="151" t="s">
        <v>270</v>
      </c>
      <c r="C19" s="152">
        <v>100000</v>
      </c>
      <c r="D19" s="152">
        <f t="shared" si="3"/>
        <v>91100</v>
      </c>
      <c r="E19" s="152">
        <v>63870</v>
      </c>
      <c r="F19" s="152">
        <v>27230</v>
      </c>
      <c r="G19" s="152">
        <f t="shared" si="4"/>
        <v>276382</v>
      </c>
      <c r="H19" s="152">
        <f>226436+300</f>
        <v>226736</v>
      </c>
      <c r="I19" s="152">
        <v>49646</v>
      </c>
      <c r="J19" s="151">
        <f t="shared" si="0"/>
        <v>367482</v>
      </c>
      <c r="K19" s="151">
        <f t="shared" si="1"/>
        <v>290606</v>
      </c>
      <c r="L19" s="151">
        <f t="shared" si="1"/>
        <v>76876</v>
      </c>
    </row>
    <row r="20" spans="1:12" s="149" customFormat="1" ht="27" customHeight="1" x14ac:dyDescent="0.25">
      <c r="A20" s="270" t="s">
        <v>258</v>
      </c>
      <c r="B20" s="270"/>
      <c r="C20" s="148">
        <f t="shared" ref="C20:L20" si="5">SUM(C7:C19)</f>
        <v>2696700</v>
      </c>
      <c r="D20" s="148">
        <f t="shared" si="5"/>
        <v>1927373</v>
      </c>
      <c r="E20" s="148">
        <f t="shared" si="5"/>
        <v>1391197</v>
      </c>
      <c r="F20" s="148">
        <f t="shared" si="5"/>
        <v>536176</v>
      </c>
      <c r="G20" s="148">
        <f t="shared" si="5"/>
        <v>4395530</v>
      </c>
      <c r="H20" s="148">
        <f t="shared" si="5"/>
        <v>3388754</v>
      </c>
      <c r="I20" s="148">
        <f t="shared" si="5"/>
        <v>1006776</v>
      </c>
      <c r="J20" s="153">
        <f t="shared" si="5"/>
        <v>6322903</v>
      </c>
      <c r="K20" s="153">
        <f t="shared" si="5"/>
        <v>4779951</v>
      </c>
      <c r="L20" s="153">
        <f t="shared" si="5"/>
        <v>1542952</v>
      </c>
    </row>
    <row r="21" spans="1:12" ht="15.6" customHeight="1" x14ac:dyDescent="0.25"/>
    <row r="22" spans="1:12" ht="15.6" customHeight="1" x14ac:dyDescent="0.25">
      <c r="G22" s="268" t="s">
        <v>604</v>
      </c>
      <c r="H22" s="268"/>
      <c r="I22" s="268"/>
      <c r="J22" s="268"/>
      <c r="K22" s="268"/>
      <c r="L22" s="268"/>
    </row>
    <row r="23" spans="1:12" ht="15.6" customHeight="1" x14ac:dyDescent="0.25"/>
    <row r="24" spans="1:12" ht="15.6" customHeight="1" x14ac:dyDescent="0.25"/>
    <row r="25" spans="1:12" ht="15.6" customHeight="1" x14ac:dyDescent="0.25"/>
    <row r="26" spans="1:12" ht="15.6" customHeight="1" x14ac:dyDescent="0.25"/>
    <row r="27" spans="1:12" ht="15.6" customHeight="1" x14ac:dyDescent="0.25"/>
    <row r="28" spans="1:12" ht="15.6" customHeight="1" x14ac:dyDescent="0.25"/>
    <row r="29" spans="1:12" ht="15.6" customHeight="1" x14ac:dyDescent="0.25"/>
    <row r="30" spans="1:12" ht="15.6" customHeight="1" x14ac:dyDescent="0.25"/>
    <row r="31" spans="1:12" ht="15.6" customHeight="1" x14ac:dyDescent="0.25"/>
    <row r="32" spans="1:12" ht="15.6" customHeight="1" x14ac:dyDescent="0.25"/>
    <row r="33" ht="15.6" customHeight="1" x14ac:dyDescent="0.25"/>
  </sheetData>
  <mergeCells count="12">
    <mergeCell ref="G22:L22"/>
    <mergeCell ref="A3:L3"/>
    <mergeCell ref="A1:L1"/>
    <mergeCell ref="A20:B20"/>
    <mergeCell ref="J5:L5"/>
    <mergeCell ref="A2:L2"/>
    <mergeCell ref="J4:L4"/>
    <mergeCell ref="A5:A6"/>
    <mergeCell ref="B5:B6"/>
    <mergeCell ref="C5:C6"/>
    <mergeCell ref="D5:F5"/>
    <mergeCell ref="G5:I5"/>
  </mergeCells>
  <phoneticPr fontId="2" type="noConversion"/>
  <printOptions horizontalCentered="1"/>
  <pageMargins left="0.24" right="0" top="0.8" bottom="0.8" header="0.5" footer="0.2"/>
  <pageSetup paperSize="9" scale="97" orientation="landscape" r:id="rId1"/>
  <headerFooter alignWithMargins="0">
    <oddFooter>&amp;C&amp;P/1 (PL07)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workbookViewId="0">
      <selection activeCell="G14" sqref="G14"/>
    </sheetView>
  </sheetViews>
  <sheetFormatPr defaultRowHeight="15.75" x14ac:dyDescent="0.25"/>
  <cols>
    <col min="1" max="1" width="4.25" style="83" customWidth="1"/>
    <col min="2" max="2" width="18.375" style="83" customWidth="1"/>
    <col min="3" max="4" width="12" style="84" customWidth="1"/>
    <col min="5" max="7" width="11.25" style="84" customWidth="1"/>
    <col min="8" max="11" width="12" style="84" customWidth="1"/>
    <col min="12" max="162" width="8.75" style="83"/>
    <col min="163" max="163" width="4.25" style="83" customWidth="1"/>
    <col min="164" max="164" width="18.375" style="83" customWidth="1"/>
    <col min="165" max="166" width="12" style="83" customWidth="1"/>
    <col min="167" max="169" width="11.25" style="83" customWidth="1"/>
    <col min="170" max="192" width="12" style="83" customWidth="1"/>
    <col min="193" max="198" width="8.25" style="83" customWidth="1"/>
    <col min="199" max="225" width="12" style="83" customWidth="1"/>
    <col min="226" max="418" width="8.75" style="83"/>
    <col min="419" max="419" width="4.25" style="83" customWidth="1"/>
    <col min="420" max="420" width="18.375" style="83" customWidth="1"/>
    <col min="421" max="422" width="12" style="83" customWidth="1"/>
    <col min="423" max="425" width="11.25" style="83" customWidth="1"/>
    <col min="426" max="448" width="12" style="83" customWidth="1"/>
    <col min="449" max="454" width="8.25" style="83" customWidth="1"/>
    <col min="455" max="481" width="12" style="83" customWidth="1"/>
    <col min="482" max="674" width="8.75" style="83"/>
    <col min="675" max="675" width="4.25" style="83" customWidth="1"/>
    <col min="676" max="676" width="18.375" style="83" customWidth="1"/>
    <col min="677" max="678" width="12" style="83" customWidth="1"/>
    <col min="679" max="681" width="11.25" style="83" customWidth="1"/>
    <col min="682" max="704" width="12" style="83" customWidth="1"/>
    <col min="705" max="710" width="8.25" style="83" customWidth="1"/>
    <col min="711" max="737" width="12" style="83" customWidth="1"/>
    <col min="738" max="930" width="8.75" style="83"/>
    <col min="931" max="931" width="4.25" style="83" customWidth="1"/>
    <col min="932" max="932" width="18.375" style="83" customWidth="1"/>
    <col min="933" max="934" width="12" style="83" customWidth="1"/>
    <col min="935" max="937" width="11.25" style="83" customWidth="1"/>
    <col min="938" max="960" width="12" style="83" customWidth="1"/>
    <col min="961" max="966" width="8.25" style="83" customWidth="1"/>
    <col min="967" max="993" width="12" style="83" customWidth="1"/>
    <col min="994" max="1186" width="8.75" style="83"/>
    <col min="1187" max="1187" width="4.25" style="83" customWidth="1"/>
    <col min="1188" max="1188" width="18.375" style="83" customWidth="1"/>
    <col min="1189" max="1190" width="12" style="83" customWidth="1"/>
    <col min="1191" max="1193" width="11.25" style="83" customWidth="1"/>
    <col min="1194" max="1216" width="12" style="83" customWidth="1"/>
    <col min="1217" max="1222" width="8.25" style="83" customWidth="1"/>
    <col min="1223" max="1249" width="12" style="83" customWidth="1"/>
    <col min="1250" max="1442" width="8.75" style="83"/>
    <col min="1443" max="1443" width="4.25" style="83" customWidth="1"/>
    <col min="1444" max="1444" width="18.375" style="83" customWidth="1"/>
    <col min="1445" max="1446" width="12" style="83" customWidth="1"/>
    <col min="1447" max="1449" width="11.25" style="83" customWidth="1"/>
    <col min="1450" max="1472" width="12" style="83" customWidth="1"/>
    <col min="1473" max="1478" width="8.25" style="83" customWidth="1"/>
    <col min="1479" max="1505" width="12" style="83" customWidth="1"/>
    <col min="1506" max="1698" width="8.75" style="83"/>
    <col min="1699" max="1699" width="4.25" style="83" customWidth="1"/>
    <col min="1700" max="1700" width="18.375" style="83" customWidth="1"/>
    <col min="1701" max="1702" width="12" style="83" customWidth="1"/>
    <col min="1703" max="1705" width="11.25" style="83" customWidth="1"/>
    <col min="1706" max="1728" width="12" style="83" customWidth="1"/>
    <col min="1729" max="1734" width="8.25" style="83" customWidth="1"/>
    <col min="1735" max="1761" width="12" style="83" customWidth="1"/>
    <col min="1762" max="1954" width="8.75" style="83"/>
    <col min="1955" max="1955" width="4.25" style="83" customWidth="1"/>
    <col min="1956" max="1956" width="18.375" style="83" customWidth="1"/>
    <col min="1957" max="1958" width="12" style="83" customWidth="1"/>
    <col min="1959" max="1961" width="11.25" style="83" customWidth="1"/>
    <col min="1962" max="1984" width="12" style="83" customWidth="1"/>
    <col min="1985" max="1990" width="8.25" style="83" customWidth="1"/>
    <col min="1991" max="2017" width="12" style="83" customWidth="1"/>
    <col min="2018" max="2210" width="8.75" style="83"/>
    <col min="2211" max="2211" width="4.25" style="83" customWidth="1"/>
    <col min="2212" max="2212" width="18.375" style="83" customWidth="1"/>
    <col min="2213" max="2214" width="12" style="83" customWidth="1"/>
    <col min="2215" max="2217" width="11.25" style="83" customWidth="1"/>
    <col min="2218" max="2240" width="12" style="83" customWidth="1"/>
    <col min="2241" max="2246" width="8.25" style="83" customWidth="1"/>
    <col min="2247" max="2273" width="12" style="83" customWidth="1"/>
    <col min="2274" max="2466" width="8.75" style="83"/>
    <col min="2467" max="2467" width="4.25" style="83" customWidth="1"/>
    <col min="2468" max="2468" width="18.375" style="83" customWidth="1"/>
    <col min="2469" max="2470" width="12" style="83" customWidth="1"/>
    <col min="2471" max="2473" width="11.25" style="83" customWidth="1"/>
    <col min="2474" max="2496" width="12" style="83" customWidth="1"/>
    <col min="2497" max="2502" width="8.25" style="83" customWidth="1"/>
    <col min="2503" max="2529" width="12" style="83" customWidth="1"/>
    <col min="2530" max="2722" width="8.75" style="83"/>
    <col min="2723" max="2723" width="4.25" style="83" customWidth="1"/>
    <col min="2724" max="2724" width="18.375" style="83" customWidth="1"/>
    <col min="2725" max="2726" width="12" style="83" customWidth="1"/>
    <col min="2727" max="2729" width="11.25" style="83" customWidth="1"/>
    <col min="2730" max="2752" width="12" style="83" customWidth="1"/>
    <col min="2753" max="2758" width="8.25" style="83" customWidth="1"/>
    <col min="2759" max="2785" width="12" style="83" customWidth="1"/>
    <col min="2786" max="2978" width="8.75" style="83"/>
    <col min="2979" max="2979" width="4.25" style="83" customWidth="1"/>
    <col min="2980" max="2980" width="18.375" style="83" customWidth="1"/>
    <col min="2981" max="2982" width="12" style="83" customWidth="1"/>
    <col min="2983" max="2985" width="11.25" style="83" customWidth="1"/>
    <col min="2986" max="3008" width="12" style="83" customWidth="1"/>
    <col min="3009" max="3014" width="8.25" style="83" customWidth="1"/>
    <col min="3015" max="3041" width="12" style="83" customWidth="1"/>
    <col min="3042" max="3234" width="8.75" style="83"/>
    <col min="3235" max="3235" width="4.25" style="83" customWidth="1"/>
    <col min="3236" max="3236" width="18.375" style="83" customWidth="1"/>
    <col min="3237" max="3238" width="12" style="83" customWidth="1"/>
    <col min="3239" max="3241" width="11.25" style="83" customWidth="1"/>
    <col min="3242" max="3264" width="12" style="83" customWidth="1"/>
    <col min="3265" max="3270" width="8.25" style="83" customWidth="1"/>
    <col min="3271" max="3297" width="12" style="83" customWidth="1"/>
    <col min="3298" max="3490" width="8.75" style="83"/>
    <col min="3491" max="3491" width="4.25" style="83" customWidth="1"/>
    <col min="3492" max="3492" width="18.375" style="83" customWidth="1"/>
    <col min="3493" max="3494" width="12" style="83" customWidth="1"/>
    <col min="3495" max="3497" width="11.25" style="83" customWidth="1"/>
    <col min="3498" max="3520" width="12" style="83" customWidth="1"/>
    <col min="3521" max="3526" width="8.25" style="83" customWidth="1"/>
    <col min="3527" max="3553" width="12" style="83" customWidth="1"/>
    <col min="3554" max="3746" width="8.75" style="83"/>
    <col min="3747" max="3747" width="4.25" style="83" customWidth="1"/>
    <col min="3748" max="3748" width="18.375" style="83" customWidth="1"/>
    <col min="3749" max="3750" width="12" style="83" customWidth="1"/>
    <col min="3751" max="3753" width="11.25" style="83" customWidth="1"/>
    <col min="3754" max="3776" width="12" style="83" customWidth="1"/>
    <col min="3777" max="3782" width="8.25" style="83" customWidth="1"/>
    <col min="3783" max="3809" width="12" style="83" customWidth="1"/>
    <col min="3810" max="4002" width="8.75" style="83"/>
    <col min="4003" max="4003" width="4.25" style="83" customWidth="1"/>
    <col min="4004" max="4004" width="18.375" style="83" customWidth="1"/>
    <col min="4005" max="4006" width="12" style="83" customWidth="1"/>
    <col min="4007" max="4009" width="11.25" style="83" customWidth="1"/>
    <col min="4010" max="4032" width="12" style="83" customWidth="1"/>
    <col min="4033" max="4038" width="8.25" style="83" customWidth="1"/>
    <col min="4039" max="4065" width="12" style="83" customWidth="1"/>
    <col min="4066" max="4258" width="8.75" style="83"/>
    <col min="4259" max="4259" width="4.25" style="83" customWidth="1"/>
    <col min="4260" max="4260" width="18.375" style="83" customWidth="1"/>
    <col min="4261" max="4262" width="12" style="83" customWidth="1"/>
    <col min="4263" max="4265" width="11.25" style="83" customWidth="1"/>
    <col min="4266" max="4288" width="12" style="83" customWidth="1"/>
    <col min="4289" max="4294" width="8.25" style="83" customWidth="1"/>
    <col min="4295" max="4321" width="12" style="83" customWidth="1"/>
    <col min="4322" max="4514" width="8.75" style="83"/>
    <col min="4515" max="4515" width="4.25" style="83" customWidth="1"/>
    <col min="4516" max="4516" width="18.375" style="83" customWidth="1"/>
    <col min="4517" max="4518" width="12" style="83" customWidth="1"/>
    <col min="4519" max="4521" width="11.25" style="83" customWidth="1"/>
    <col min="4522" max="4544" width="12" style="83" customWidth="1"/>
    <col min="4545" max="4550" width="8.25" style="83" customWidth="1"/>
    <col min="4551" max="4577" width="12" style="83" customWidth="1"/>
    <col min="4578" max="4770" width="8.75" style="83"/>
    <col min="4771" max="4771" width="4.25" style="83" customWidth="1"/>
    <col min="4772" max="4772" width="18.375" style="83" customWidth="1"/>
    <col min="4773" max="4774" width="12" style="83" customWidth="1"/>
    <col min="4775" max="4777" width="11.25" style="83" customWidth="1"/>
    <col min="4778" max="4800" width="12" style="83" customWidth="1"/>
    <col min="4801" max="4806" width="8.25" style="83" customWidth="1"/>
    <col min="4807" max="4833" width="12" style="83" customWidth="1"/>
    <col min="4834" max="5026" width="8.75" style="83"/>
    <col min="5027" max="5027" width="4.25" style="83" customWidth="1"/>
    <col min="5028" max="5028" width="18.375" style="83" customWidth="1"/>
    <col min="5029" max="5030" width="12" style="83" customWidth="1"/>
    <col min="5031" max="5033" width="11.25" style="83" customWidth="1"/>
    <col min="5034" max="5056" width="12" style="83" customWidth="1"/>
    <col min="5057" max="5062" width="8.25" style="83" customWidth="1"/>
    <col min="5063" max="5089" width="12" style="83" customWidth="1"/>
    <col min="5090" max="5282" width="8.75" style="83"/>
    <col min="5283" max="5283" width="4.25" style="83" customWidth="1"/>
    <col min="5284" max="5284" width="18.375" style="83" customWidth="1"/>
    <col min="5285" max="5286" width="12" style="83" customWidth="1"/>
    <col min="5287" max="5289" width="11.25" style="83" customWidth="1"/>
    <col min="5290" max="5312" width="12" style="83" customWidth="1"/>
    <col min="5313" max="5318" width="8.25" style="83" customWidth="1"/>
    <col min="5319" max="5345" width="12" style="83" customWidth="1"/>
    <col min="5346" max="5538" width="8.75" style="83"/>
    <col min="5539" max="5539" width="4.25" style="83" customWidth="1"/>
    <col min="5540" max="5540" width="18.375" style="83" customWidth="1"/>
    <col min="5541" max="5542" width="12" style="83" customWidth="1"/>
    <col min="5543" max="5545" width="11.25" style="83" customWidth="1"/>
    <col min="5546" max="5568" width="12" style="83" customWidth="1"/>
    <col min="5569" max="5574" width="8.25" style="83" customWidth="1"/>
    <col min="5575" max="5601" width="12" style="83" customWidth="1"/>
    <col min="5602" max="5794" width="8.75" style="83"/>
    <col min="5795" max="5795" width="4.25" style="83" customWidth="1"/>
    <col min="5796" max="5796" width="18.375" style="83" customWidth="1"/>
    <col min="5797" max="5798" width="12" style="83" customWidth="1"/>
    <col min="5799" max="5801" width="11.25" style="83" customWidth="1"/>
    <col min="5802" max="5824" width="12" style="83" customWidth="1"/>
    <col min="5825" max="5830" width="8.25" style="83" customWidth="1"/>
    <col min="5831" max="5857" width="12" style="83" customWidth="1"/>
    <col min="5858" max="6050" width="8.75" style="83"/>
    <col min="6051" max="6051" width="4.25" style="83" customWidth="1"/>
    <col min="6052" max="6052" width="18.375" style="83" customWidth="1"/>
    <col min="6053" max="6054" width="12" style="83" customWidth="1"/>
    <col min="6055" max="6057" width="11.25" style="83" customWidth="1"/>
    <col min="6058" max="6080" width="12" style="83" customWidth="1"/>
    <col min="6081" max="6086" width="8.25" style="83" customWidth="1"/>
    <col min="6087" max="6113" width="12" style="83" customWidth="1"/>
    <col min="6114" max="6306" width="8.75" style="83"/>
    <col min="6307" max="6307" width="4.25" style="83" customWidth="1"/>
    <col min="6308" max="6308" width="18.375" style="83" customWidth="1"/>
    <col min="6309" max="6310" width="12" style="83" customWidth="1"/>
    <col min="6311" max="6313" width="11.25" style="83" customWidth="1"/>
    <col min="6314" max="6336" width="12" style="83" customWidth="1"/>
    <col min="6337" max="6342" width="8.25" style="83" customWidth="1"/>
    <col min="6343" max="6369" width="12" style="83" customWidth="1"/>
    <col min="6370" max="6562" width="8.75" style="83"/>
    <col min="6563" max="6563" width="4.25" style="83" customWidth="1"/>
    <col min="6564" max="6564" width="18.375" style="83" customWidth="1"/>
    <col min="6565" max="6566" width="12" style="83" customWidth="1"/>
    <col min="6567" max="6569" width="11.25" style="83" customWidth="1"/>
    <col min="6570" max="6592" width="12" style="83" customWidth="1"/>
    <col min="6593" max="6598" width="8.25" style="83" customWidth="1"/>
    <col min="6599" max="6625" width="12" style="83" customWidth="1"/>
    <col min="6626" max="6818" width="8.75" style="83"/>
    <col min="6819" max="6819" width="4.25" style="83" customWidth="1"/>
    <col min="6820" max="6820" width="18.375" style="83" customWidth="1"/>
    <col min="6821" max="6822" width="12" style="83" customWidth="1"/>
    <col min="6823" max="6825" width="11.25" style="83" customWidth="1"/>
    <col min="6826" max="6848" width="12" style="83" customWidth="1"/>
    <col min="6849" max="6854" width="8.25" style="83" customWidth="1"/>
    <col min="6855" max="6881" width="12" style="83" customWidth="1"/>
    <col min="6882" max="7074" width="8.75" style="83"/>
    <col min="7075" max="7075" width="4.25" style="83" customWidth="1"/>
    <col min="7076" max="7076" width="18.375" style="83" customWidth="1"/>
    <col min="7077" max="7078" width="12" style="83" customWidth="1"/>
    <col min="7079" max="7081" width="11.25" style="83" customWidth="1"/>
    <col min="7082" max="7104" width="12" style="83" customWidth="1"/>
    <col min="7105" max="7110" width="8.25" style="83" customWidth="1"/>
    <col min="7111" max="7137" width="12" style="83" customWidth="1"/>
    <col min="7138" max="7330" width="8.75" style="83"/>
    <col min="7331" max="7331" width="4.25" style="83" customWidth="1"/>
    <col min="7332" max="7332" width="18.375" style="83" customWidth="1"/>
    <col min="7333" max="7334" width="12" style="83" customWidth="1"/>
    <col min="7335" max="7337" width="11.25" style="83" customWidth="1"/>
    <col min="7338" max="7360" width="12" style="83" customWidth="1"/>
    <col min="7361" max="7366" width="8.25" style="83" customWidth="1"/>
    <col min="7367" max="7393" width="12" style="83" customWidth="1"/>
    <col min="7394" max="7586" width="8.75" style="83"/>
    <col min="7587" max="7587" width="4.25" style="83" customWidth="1"/>
    <col min="7588" max="7588" width="18.375" style="83" customWidth="1"/>
    <col min="7589" max="7590" width="12" style="83" customWidth="1"/>
    <col min="7591" max="7593" width="11.25" style="83" customWidth="1"/>
    <col min="7594" max="7616" width="12" style="83" customWidth="1"/>
    <col min="7617" max="7622" width="8.25" style="83" customWidth="1"/>
    <col min="7623" max="7649" width="12" style="83" customWidth="1"/>
    <col min="7650" max="7842" width="8.75" style="83"/>
    <col min="7843" max="7843" width="4.25" style="83" customWidth="1"/>
    <col min="7844" max="7844" width="18.375" style="83" customWidth="1"/>
    <col min="7845" max="7846" width="12" style="83" customWidth="1"/>
    <col min="7847" max="7849" width="11.25" style="83" customWidth="1"/>
    <col min="7850" max="7872" width="12" style="83" customWidth="1"/>
    <col min="7873" max="7878" width="8.25" style="83" customWidth="1"/>
    <col min="7879" max="7905" width="12" style="83" customWidth="1"/>
    <col min="7906" max="8098" width="8.75" style="83"/>
    <col min="8099" max="8099" width="4.25" style="83" customWidth="1"/>
    <col min="8100" max="8100" width="18.375" style="83" customWidth="1"/>
    <col min="8101" max="8102" width="12" style="83" customWidth="1"/>
    <col min="8103" max="8105" width="11.25" style="83" customWidth="1"/>
    <col min="8106" max="8128" width="12" style="83" customWidth="1"/>
    <col min="8129" max="8134" width="8.25" style="83" customWidth="1"/>
    <col min="8135" max="8161" width="12" style="83" customWidth="1"/>
    <col min="8162" max="8354" width="8.75" style="83"/>
    <col min="8355" max="8355" width="4.25" style="83" customWidth="1"/>
    <col min="8356" max="8356" width="18.375" style="83" customWidth="1"/>
    <col min="8357" max="8358" width="12" style="83" customWidth="1"/>
    <col min="8359" max="8361" width="11.25" style="83" customWidth="1"/>
    <col min="8362" max="8384" width="12" style="83" customWidth="1"/>
    <col min="8385" max="8390" width="8.25" style="83" customWidth="1"/>
    <col min="8391" max="8417" width="12" style="83" customWidth="1"/>
    <col min="8418" max="8610" width="8.75" style="83"/>
    <col min="8611" max="8611" width="4.25" style="83" customWidth="1"/>
    <col min="8612" max="8612" width="18.375" style="83" customWidth="1"/>
    <col min="8613" max="8614" width="12" style="83" customWidth="1"/>
    <col min="8615" max="8617" width="11.25" style="83" customWidth="1"/>
    <col min="8618" max="8640" width="12" style="83" customWidth="1"/>
    <col min="8641" max="8646" width="8.25" style="83" customWidth="1"/>
    <col min="8647" max="8673" width="12" style="83" customWidth="1"/>
    <col min="8674" max="8866" width="8.75" style="83"/>
    <col min="8867" max="8867" width="4.25" style="83" customWidth="1"/>
    <col min="8868" max="8868" width="18.375" style="83" customWidth="1"/>
    <col min="8869" max="8870" width="12" style="83" customWidth="1"/>
    <col min="8871" max="8873" width="11.25" style="83" customWidth="1"/>
    <col min="8874" max="8896" width="12" style="83" customWidth="1"/>
    <col min="8897" max="8902" width="8.25" style="83" customWidth="1"/>
    <col min="8903" max="8929" width="12" style="83" customWidth="1"/>
    <col min="8930" max="9122" width="8.75" style="83"/>
    <col min="9123" max="9123" width="4.25" style="83" customWidth="1"/>
    <col min="9124" max="9124" width="18.375" style="83" customWidth="1"/>
    <col min="9125" max="9126" width="12" style="83" customWidth="1"/>
    <col min="9127" max="9129" width="11.25" style="83" customWidth="1"/>
    <col min="9130" max="9152" width="12" style="83" customWidth="1"/>
    <col min="9153" max="9158" width="8.25" style="83" customWidth="1"/>
    <col min="9159" max="9185" width="12" style="83" customWidth="1"/>
    <col min="9186" max="9378" width="8.75" style="83"/>
    <col min="9379" max="9379" width="4.25" style="83" customWidth="1"/>
    <col min="9380" max="9380" width="18.375" style="83" customWidth="1"/>
    <col min="9381" max="9382" width="12" style="83" customWidth="1"/>
    <col min="9383" max="9385" width="11.25" style="83" customWidth="1"/>
    <col min="9386" max="9408" width="12" style="83" customWidth="1"/>
    <col min="9409" max="9414" width="8.25" style="83" customWidth="1"/>
    <col min="9415" max="9441" width="12" style="83" customWidth="1"/>
    <col min="9442" max="9634" width="8.75" style="83"/>
    <col min="9635" max="9635" width="4.25" style="83" customWidth="1"/>
    <col min="9636" max="9636" width="18.375" style="83" customWidth="1"/>
    <col min="9637" max="9638" width="12" style="83" customWidth="1"/>
    <col min="9639" max="9641" width="11.25" style="83" customWidth="1"/>
    <col min="9642" max="9664" width="12" style="83" customWidth="1"/>
    <col min="9665" max="9670" width="8.25" style="83" customWidth="1"/>
    <col min="9671" max="9697" width="12" style="83" customWidth="1"/>
    <col min="9698" max="9890" width="8.75" style="83"/>
    <col min="9891" max="9891" width="4.25" style="83" customWidth="1"/>
    <col min="9892" max="9892" width="18.375" style="83" customWidth="1"/>
    <col min="9893" max="9894" width="12" style="83" customWidth="1"/>
    <col min="9895" max="9897" width="11.25" style="83" customWidth="1"/>
    <col min="9898" max="9920" width="12" style="83" customWidth="1"/>
    <col min="9921" max="9926" width="8.25" style="83" customWidth="1"/>
    <col min="9927" max="9953" width="12" style="83" customWidth="1"/>
    <col min="9954" max="10146" width="8.75" style="83"/>
    <col min="10147" max="10147" width="4.25" style="83" customWidth="1"/>
    <col min="10148" max="10148" width="18.375" style="83" customWidth="1"/>
    <col min="10149" max="10150" width="12" style="83" customWidth="1"/>
    <col min="10151" max="10153" width="11.25" style="83" customWidth="1"/>
    <col min="10154" max="10176" width="12" style="83" customWidth="1"/>
    <col min="10177" max="10182" width="8.25" style="83" customWidth="1"/>
    <col min="10183" max="10209" width="12" style="83" customWidth="1"/>
    <col min="10210" max="10402" width="8.75" style="83"/>
    <col min="10403" max="10403" width="4.25" style="83" customWidth="1"/>
    <col min="10404" max="10404" width="18.375" style="83" customWidth="1"/>
    <col min="10405" max="10406" width="12" style="83" customWidth="1"/>
    <col min="10407" max="10409" width="11.25" style="83" customWidth="1"/>
    <col min="10410" max="10432" width="12" style="83" customWidth="1"/>
    <col min="10433" max="10438" width="8.25" style="83" customWidth="1"/>
    <col min="10439" max="10465" width="12" style="83" customWidth="1"/>
    <col min="10466" max="10658" width="8.75" style="83"/>
    <col min="10659" max="10659" width="4.25" style="83" customWidth="1"/>
    <col min="10660" max="10660" width="18.375" style="83" customWidth="1"/>
    <col min="10661" max="10662" width="12" style="83" customWidth="1"/>
    <col min="10663" max="10665" width="11.25" style="83" customWidth="1"/>
    <col min="10666" max="10688" width="12" style="83" customWidth="1"/>
    <col min="10689" max="10694" width="8.25" style="83" customWidth="1"/>
    <col min="10695" max="10721" width="12" style="83" customWidth="1"/>
    <col min="10722" max="10914" width="8.75" style="83"/>
    <col min="10915" max="10915" width="4.25" style="83" customWidth="1"/>
    <col min="10916" max="10916" width="18.375" style="83" customWidth="1"/>
    <col min="10917" max="10918" width="12" style="83" customWidth="1"/>
    <col min="10919" max="10921" width="11.25" style="83" customWidth="1"/>
    <col min="10922" max="10944" width="12" style="83" customWidth="1"/>
    <col min="10945" max="10950" width="8.25" style="83" customWidth="1"/>
    <col min="10951" max="10977" width="12" style="83" customWidth="1"/>
    <col min="10978" max="11170" width="8.75" style="83"/>
    <col min="11171" max="11171" width="4.25" style="83" customWidth="1"/>
    <col min="11172" max="11172" width="18.375" style="83" customWidth="1"/>
    <col min="11173" max="11174" width="12" style="83" customWidth="1"/>
    <col min="11175" max="11177" width="11.25" style="83" customWidth="1"/>
    <col min="11178" max="11200" width="12" style="83" customWidth="1"/>
    <col min="11201" max="11206" width="8.25" style="83" customWidth="1"/>
    <col min="11207" max="11233" width="12" style="83" customWidth="1"/>
    <col min="11234" max="11426" width="8.75" style="83"/>
    <col min="11427" max="11427" width="4.25" style="83" customWidth="1"/>
    <col min="11428" max="11428" width="18.375" style="83" customWidth="1"/>
    <col min="11429" max="11430" width="12" style="83" customWidth="1"/>
    <col min="11431" max="11433" width="11.25" style="83" customWidth="1"/>
    <col min="11434" max="11456" width="12" style="83" customWidth="1"/>
    <col min="11457" max="11462" width="8.25" style="83" customWidth="1"/>
    <col min="11463" max="11489" width="12" style="83" customWidth="1"/>
    <col min="11490" max="11682" width="8.75" style="83"/>
    <col min="11683" max="11683" width="4.25" style="83" customWidth="1"/>
    <col min="11684" max="11684" width="18.375" style="83" customWidth="1"/>
    <col min="11685" max="11686" width="12" style="83" customWidth="1"/>
    <col min="11687" max="11689" width="11.25" style="83" customWidth="1"/>
    <col min="11690" max="11712" width="12" style="83" customWidth="1"/>
    <col min="11713" max="11718" width="8.25" style="83" customWidth="1"/>
    <col min="11719" max="11745" width="12" style="83" customWidth="1"/>
    <col min="11746" max="11938" width="8.75" style="83"/>
    <col min="11939" max="11939" width="4.25" style="83" customWidth="1"/>
    <col min="11940" max="11940" width="18.375" style="83" customWidth="1"/>
    <col min="11941" max="11942" width="12" style="83" customWidth="1"/>
    <col min="11943" max="11945" width="11.25" style="83" customWidth="1"/>
    <col min="11946" max="11968" width="12" style="83" customWidth="1"/>
    <col min="11969" max="11974" width="8.25" style="83" customWidth="1"/>
    <col min="11975" max="12001" width="12" style="83" customWidth="1"/>
    <col min="12002" max="12194" width="8.75" style="83"/>
    <col min="12195" max="12195" width="4.25" style="83" customWidth="1"/>
    <col min="12196" max="12196" width="18.375" style="83" customWidth="1"/>
    <col min="12197" max="12198" width="12" style="83" customWidth="1"/>
    <col min="12199" max="12201" width="11.25" style="83" customWidth="1"/>
    <col min="12202" max="12224" width="12" style="83" customWidth="1"/>
    <col min="12225" max="12230" width="8.25" style="83" customWidth="1"/>
    <col min="12231" max="12257" width="12" style="83" customWidth="1"/>
    <col min="12258" max="12450" width="8.75" style="83"/>
    <col min="12451" max="12451" width="4.25" style="83" customWidth="1"/>
    <col min="12452" max="12452" width="18.375" style="83" customWidth="1"/>
    <col min="12453" max="12454" width="12" style="83" customWidth="1"/>
    <col min="12455" max="12457" width="11.25" style="83" customWidth="1"/>
    <col min="12458" max="12480" width="12" style="83" customWidth="1"/>
    <col min="12481" max="12486" width="8.25" style="83" customWidth="1"/>
    <col min="12487" max="12513" width="12" style="83" customWidth="1"/>
    <col min="12514" max="12706" width="8.75" style="83"/>
    <col min="12707" max="12707" width="4.25" style="83" customWidth="1"/>
    <col min="12708" max="12708" width="18.375" style="83" customWidth="1"/>
    <col min="12709" max="12710" width="12" style="83" customWidth="1"/>
    <col min="12711" max="12713" width="11.25" style="83" customWidth="1"/>
    <col min="12714" max="12736" width="12" style="83" customWidth="1"/>
    <col min="12737" max="12742" width="8.25" style="83" customWidth="1"/>
    <col min="12743" max="12769" width="12" style="83" customWidth="1"/>
    <col min="12770" max="12962" width="8.75" style="83"/>
    <col min="12963" max="12963" width="4.25" style="83" customWidth="1"/>
    <col min="12964" max="12964" width="18.375" style="83" customWidth="1"/>
    <col min="12965" max="12966" width="12" style="83" customWidth="1"/>
    <col min="12967" max="12969" width="11.25" style="83" customWidth="1"/>
    <col min="12970" max="12992" width="12" style="83" customWidth="1"/>
    <col min="12993" max="12998" width="8.25" style="83" customWidth="1"/>
    <col min="12999" max="13025" width="12" style="83" customWidth="1"/>
    <col min="13026" max="13218" width="8.75" style="83"/>
    <col min="13219" max="13219" width="4.25" style="83" customWidth="1"/>
    <col min="13220" max="13220" width="18.375" style="83" customWidth="1"/>
    <col min="13221" max="13222" width="12" style="83" customWidth="1"/>
    <col min="13223" max="13225" width="11.25" style="83" customWidth="1"/>
    <col min="13226" max="13248" width="12" style="83" customWidth="1"/>
    <col min="13249" max="13254" width="8.25" style="83" customWidth="1"/>
    <col min="13255" max="13281" width="12" style="83" customWidth="1"/>
    <col min="13282" max="13474" width="8.75" style="83"/>
    <col min="13475" max="13475" width="4.25" style="83" customWidth="1"/>
    <col min="13476" max="13476" width="18.375" style="83" customWidth="1"/>
    <col min="13477" max="13478" width="12" style="83" customWidth="1"/>
    <col min="13479" max="13481" width="11.25" style="83" customWidth="1"/>
    <col min="13482" max="13504" width="12" style="83" customWidth="1"/>
    <col min="13505" max="13510" width="8.25" style="83" customWidth="1"/>
    <col min="13511" max="13537" width="12" style="83" customWidth="1"/>
    <col min="13538" max="13730" width="8.75" style="83"/>
    <col min="13731" max="13731" width="4.25" style="83" customWidth="1"/>
    <col min="13732" max="13732" width="18.375" style="83" customWidth="1"/>
    <col min="13733" max="13734" width="12" style="83" customWidth="1"/>
    <col min="13735" max="13737" width="11.25" style="83" customWidth="1"/>
    <col min="13738" max="13760" width="12" style="83" customWidth="1"/>
    <col min="13761" max="13766" width="8.25" style="83" customWidth="1"/>
    <col min="13767" max="13793" width="12" style="83" customWidth="1"/>
    <col min="13794" max="13986" width="8.75" style="83"/>
    <col min="13987" max="13987" width="4.25" style="83" customWidth="1"/>
    <col min="13988" max="13988" width="18.375" style="83" customWidth="1"/>
    <col min="13989" max="13990" width="12" style="83" customWidth="1"/>
    <col min="13991" max="13993" width="11.25" style="83" customWidth="1"/>
    <col min="13994" max="14016" width="12" style="83" customWidth="1"/>
    <col min="14017" max="14022" width="8.25" style="83" customWidth="1"/>
    <col min="14023" max="14049" width="12" style="83" customWidth="1"/>
    <col min="14050" max="14242" width="8.75" style="83"/>
    <col min="14243" max="14243" width="4.25" style="83" customWidth="1"/>
    <col min="14244" max="14244" width="18.375" style="83" customWidth="1"/>
    <col min="14245" max="14246" width="12" style="83" customWidth="1"/>
    <col min="14247" max="14249" width="11.25" style="83" customWidth="1"/>
    <col min="14250" max="14272" width="12" style="83" customWidth="1"/>
    <col min="14273" max="14278" width="8.25" style="83" customWidth="1"/>
    <col min="14279" max="14305" width="12" style="83" customWidth="1"/>
    <col min="14306" max="14498" width="8.75" style="83"/>
    <col min="14499" max="14499" width="4.25" style="83" customWidth="1"/>
    <col min="14500" max="14500" width="18.375" style="83" customWidth="1"/>
    <col min="14501" max="14502" width="12" style="83" customWidth="1"/>
    <col min="14503" max="14505" width="11.25" style="83" customWidth="1"/>
    <col min="14506" max="14528" width="12" style="83" customWidth="1"/>
    <col min="14529" max="14534" width="8.25" style="83" customWidth="1"/>
    <col min="14535" max="14561" width="12" style="83" customWidth="1"/>
    <col min="14562" max="14754" width="8.75" style="83"/>
    <col min="14755" max="14755" width="4.25" style="83" customWidth="1"/>
    <col min="14756" max="14756" width="18.375" style="83" customWidth="1"/>
    <col min="14757" max="14758" width="12" style="83" customWidth="1"/>
    <col min="14759" max="14761" width="11.25" style="83" customWidth="1"/>
    <col min="14762" max="14784" width="12" style="83" customWidth="1"/>
    <col min="14785" max="14790" width="8.25" style="83" customWidth="1"/>
    <col min="14791" max="14817" width="12" style="83" customWidth="1"/>
    <col min="14818" max="15010" width="8.75" style="83"/>
    <col min="15011" max="15011" width="4.25" style="83" customWidth="1"/>
    <col min="15012" max="15012" width="18.375" style="83" customWidth="1"/>
    <col min="15013" max="15014" width="12" style="83" customWidth="1"/>
    <col min="15015" max="15017" width="11.25" style="83" customWidth="1"/>
    <col min="15018" max="15040" width="12" style="83" customWidth="1"/>
    <col min="15041" max="15046" width="8.25" style="83" customWidth="1"/>
    <col min="15047" max="15073" width="12" style="83" customWidth="1"/>
    <col min="15074" max="15266" width="8.75" style="83"/>
    <col min="15267" max="15267" width="4.25" style="83" customWidth="1"/>
    <col min="15268" max="15268" width="18.375" style="83" customWidth="1"/>
    <col min="15269" max="15270" width="12" style="83" customWidth="1"/>
    <col min="15271" max="15273" width="11.25" style="83" customWidth="1"/>
    <col min="15274" max="15296" width="12" style="83" customWidth="1"/>
    <col min="15297" max="15302" width="8.25" style="83" customWidth="1"/>
    <col min="15303" max="15329" width="12" style="83" customWidth="1"/>
    <col min="15330" max="15522" width="8.75" style="83"/>
    <col min="15523" max="15523" width="4.25" style="83" customWidth="1"/>
    <col min="15524" max="15524" width="18.375" style="83" customWidth="1"/>
    <col min="15525" max="15526" width="12" style="83" customWidth="1"/>
    <col min="15527" max="15529" width="11.25" style="83" customWidth="1"/>
    <col min="15530" max="15552" width="12" style="83" customWidth="1"/>
    <col min="15553" max="15558" width="8.25" style="83" customWidth="1"/>
    <col min="15559" max="15585" width="12" style="83" customWidth="1"/>
    <col min="15586" max="15778" width="8.75" style="83"/>
    <col min="15779" max="15779" width="4.25" style="83" customWidth="1"/>
    <col min="15780" max="15780" width="18.375" style="83" customWidth="1"/>
    <col min="15781" max="15782" width="12" style="83" customWidth="1"/>
    <col min="15783" max="15785" width="11.25" style="83" customWidth="1"/>
    <col min="15786" max="15808" width="12" style="83" customWidth="1"/>
    <col min="15809" max="15814" width="8.25" style="83" customWidth="1"/>
    <col min="15815" max="15841" width="12" style="83" customWidth="1"/>
    <col min="15842" max="16034" width="8.75" style="83"/>
    <col min="16035" max="16035" width="4.25" style="83" customWidth="1"/>
    <col min="16036" max="16036" width="18.375" style="83" customWidth="1"/>
    <col min="16037" max="16038" width="12" style="83" customWidth="1"/>
    <col min="16039" max="16041" width="11.25" style="83" customWidth="1"/>
    <col min="16042" max="16064" width="12" style="83" customWidth="1"/>
    <col min="16065" max="16070" width="8.25" style="83" customWidth="1"/>
    <col min="16071" max="16097" width="12" style="83" customWidth="1"/>
    <col min="16098" max="16384" width="8.75" style="83"/>
  </cols>
  <sheetData>
    <row r="1" spans="1:21" ht="16.5" customHeight="1" x14ac:dyDescent="0.25">
      <c r="A1" s="261" t="s">
        <v>552</v>
      </c>
      <c r="B1" s="261"/>
      <c r="C1" s="261"/>
      <c r="D1" s="261"/>
      <c r="E1" s="261"/>
      <c r="F1" s="261"/>
      <c r="G1" s="261"/>
      <c r="H1" s="261"/>
      <c r="I1" s="261"/>
      <c r="J1" s="261"/>
      <c r="K1" s="261"/>
      <c r="L1" s="89"/>
      <c r="M1" s="89"/>
      <c r="N1" s="89"/>
    </row>
    <row r="2" spans="1:21" ht="18" customHeight="1" x14ac:dyDescent="0.25">
      <c r="A2" s="263" t="s">
        <v>550</v>
      </c>
      <c r="B2" s="263"/>
      <c r="C2" s="263"/>
      <c r="D2" s="263"/>
      <c r="E2" s="263"/>
      <c r="F2" s="263"/>
      <c r="G2" s="263"/>
      <c r="H2" s="263"/>
      <c r="I2" s="263"/>
      <c r="J2" s="263"/>
      <c r="K2" s="263"/>
    </row>
    <row r="3" spans="1:21" ht="20.25" customHeight="1" x14ac:dyDescent="0.25">
      <c r="A3" s="269" t="s">
        <v>796</v>
      </c>
      <c r="B3" s="269"/>
      <c r="C3" s="269"/>
      <c r="D3" s="269"/>
      <c r="E3" s="269"/>
      <c r="F3" s="269"/>
      <c r="G3" s="269"/>
      <c r="H3" s="269"/>
      <c r="I3" s="269"/>
      <c r="J3" s="269"/>
      <c r="K3" s="269"/>
      <c r="L3" s="87"/>
      <c r="M3" s="87"/>
      <c r="N3" s="87"/>
      <c r="O3" s="87"/>
      <c r="P3" s="87"/>
      <c r="Q3" s="87"/>
      <c r="R3" s="87"/>
      <c r="S3" s="87"/>
      <c r="T3" s="87"/>
      <c r="U3" s="87"/>
    </row>
    <row r="4" spans="1:21" ht="17.25" customHeight="1" x14ac:dyDescent="0.25">
      <c r="I4" s="274" t="s">
        <v>469</v>
      </c>
      <c r="J4" s="274"/>
      <c r="K4" s="274"/>
    </row>
    <row r="5" spans="1:21" s="155" customFormat="1" ht="23.1" customHeight="1" x14ac:dyDescent="0.25">
      <c r="A5" s="276" t="s">
        <v>44</v>
      </c>
      <c r="B5" s="276" t="s">
        <v>257</v>
      </c>
      <c r="C5" s="277" t="s">
        <v>551</v>
      </c>
      <c r="D5" s="277"/>
      <c r="E5" s="277"/>
      <c r="F5" s="277"/>
      <c r="G5" s="277"/>
      <c r="H5" s="277"/>
      <c r="I5" s="277"/>
      <c r="J5" s="277"/>
      <c r="K5" s="277"/>
    </row>
    <row r="6" spans="1:21" s="155" customFormat="1" ht="23.1" customHeight="1" x14ac:dyDescent="0.25">
      <c r="A6" s="276"/>
      <c r="B6" s="276"/>
      <c r="C6" s="277" t="s">
        <v>544</v>
      </c>
      <c r="D6" s="277" t="s">
        <v>279</v>
      </c>
      <c r="E6" s="277"/>
      <c r="F6" s="277"/>
      <c r="G6" s="277"/>
      <c r="H6" s="277" t="s">
        <v>280</v>
      </c>
      <c r="I6" s="277"/>
      <c r="J6" s="277"/>
      <c r="K6" s="277"/>
    </row>
    <row r="7" spans="1:21" s="155" customFormat="1" ht="23.1" customHeight="1" x14ac:dyDescent="0.25">
      <c r="A7" s="276"/>
      <c r="B7" s="276"/>
      <c r="C7" s="277"/>
      <c r="D7" s="277" t="s">
        <v>275</v>
      </c>
      <c r="E7" s="277" t="s">
        <v>2</v>
      </c>
      <c r="F7" s="277"/>
      <c r="G7" s="277"/>
      <c r="H7" s="277" t="s">
        <v>275</v>
      </c>
      <c r="I7" s="277" t="s">
        <v>2</v>
      </c>
      <c r="J7" s="277"/>
      <c r="K7" s="277"/>
    </row>
    <row r="8" spans="1:21" s="155" customFormat="1" ht="36.75" customHeight="1" x14ac:dyDescent="0.25">
      <c r="A8" s="276"/>
      <c r="B8" s="276"/>
      <c r="C8" s="277"/>
      <c r="D8" s="277"/>
      <c r="E8" s="156" t="s">
        <v>281</v>
      </c>
      <c r="F8" s="156" t="s">
        <v>282</v>
      </c>
      <c r="G8" s="156" t="s">
        <v>283</v>
      </c>
      <c r="H8" s="277"/>
      <c r="I8" s="156" t="s">
        <v>281</v>
      </c>
      <c r="J8" s="156" t="s">
        <v>282</v>
      </c>
      <c r="K8" s="156" t="s">
        <v>283</v>
      </c>
    </row>
    <row r="9" spans="1:21" s="160" customFormat="1" ht="23.1" customHeight="1" x14ac:dyDescent="0.25">
      <c r="A9" s="157">
        <v>1</v>
      </c>
      <c r="B9" s="158" t="s">
        <v>259</v>
      </c>
      <c r="C9" s="159">
        <f t="shared" ref="C9:C21" si="0">+D9+H9</f>
        <v>539833</v>
      </c>
      <c r="D9" s="159">
        <f t="shared" ref="D9:D21" si="1">+E9+F9+G9</f>
        <v>390726</v>
      </c>
      <c r="E9" s="159">
        <v>10900</v>
      </c>
      <c r="F9" s="159">
        <v>372782</v>
      </c>
      <c r="G9" s="159">
        <v>7044</v>
      </c>
      <c r="H9" s="159">
        <f t="shared" ref="H9:H21" si="2">+I9+J9+K9</f>
        <v>149107</v>
      </c>
      <c r="I9" s="159">
        <v>46100</v>
      </c>
      <c r="J9" s="159">
        <v>100987</v>
      </c>
      <c r="K9" s="159">
        <v>2020</v>
      </c>
    </row>
    <row r="10" spans="1:21" s="160" customFormat="1" ht="23.1" customHeight="1" x14ac:dyDescent="0.25">
      <c r="A10" s="157">
        <f t="shared" ref="A10:A21" si="3">+A9+1</f>
        <v>2</v>
      </c>
      <c r="B10" s="158" t="s">
        <v>538</v>
      </c>
      <c r="C10" s="159">
        <f>+D10+H10</f>
        <v>455954</v>
      </c>
      <c r="D10" s="159">
        <f>+E10+F10+G10</f>
        <v>384804</v>
      </c>
      <c r="E10" s="159">
        <v>139025</v>
      </c>
      <c r="F10" s="159">
        <v>241367</v>
      </c>
      <c r="G10" s="159">
        <v>4412</v>
      </c>
      <c r="H10" s="159">
        <f>+I10+J10+K10</f>
        <v>71150</v>
      </c>
      <c r="I10" s="159">
        <v>17600</v>
      </c>
      <c r="J10" s="159">
        <v>52500</v>
      </c>
      <c r="K10" s="159">
        <v>1050</v>
      </c>
    </row>
    <row r="11" spans="1:21" s="160" customFormat="1" ht="23.1" customHeight="1" x14ac:dyDescent="0.25">
      <c r="A11" s="157">
        <f t="shared" si="3"/>
        <v>3</v>
      </c>
      <c r="B11" s="158" t="s">
        <v>260</v>
      </c>
      <c r="C11" s="159">
        <f t="shared" si="0"/>
        <v>622320</v>
      </c>
      <c r="D11" s="159">
        <f t="shared" si="1"/>
        <v>456975</v>
      </c>
      <c r="E11" s="159">
        <v>20475</v>
      </c>
      <c r="F11" s="159">
        <v>428482</v>
      </c>
      <c r="G11" s="159">
        <v>8018</v>
      </c>
      <c r="H11" s="159">
        <f t="shared" si="2"/>
        <v>165345</v>
      </c>
      <c r="I11" s="159">
        <v>36250</v>
      </c>
      <c r="J11" s="159">
        <v>126564</v>
      </c>
      <c r="K11" s="159">
        <v>2531</v>
      </c>
    </row>
    <row r="12" spans="1:21" s="160" customFormat="1" ht="23.1" customHeight="1" x14ac:dyDescent="0.25">
      <c r="A12" s="157">
        <f t="shared" si="3"/>
        <v>4</v>
      </c>
      <c r="B12" s="158" t="s">
        <v>261</v>
      </c>
      <c r="C12" s="159">
        <f t="shared" si="0"/>
        <v>590637</v>
      </c>
      <c r="D12" s="159">
        <f t="shared" si="1"/>
        <v>473406</v>
      </c>
      <c r="E12" s="159">
        <v>208676</v>
      </c>
      <c r="F12" s="159">
        <v>259980</v>
      </c>
      <c r="G12" s="159">
        <v>4750</v>
      </c>
      <c r="H12" s="159">
        <f t="shared" si="2"/>
        <v>117231</v>
      </c>
      <c r="I12" s="159">
        <v>48251</v>
      </c>
      <c r="J12" s="159">
        <v>67627</v>
      </c>
      <c r="K12" s="159">
        <v>1353</v>
      </c>
    </row>
    <row r="13" spans="1:21" s="160" customFormat="1" ht="23.1" customHeight="1" x14ac:dyDescent="0.25">
      <c r="A13" s="157">
        <f t="shared" si="3"/>
        <v>5</v>
      </c>
      <c r="B13" s="158" t="s">
        <v>262</v>
      </c>
      <c r="C13" s="159">
        <f t="shared" si="0"/>
        <v>590362</v>
      </c>
      <c r="D13" s="159">
        <f t="shared" si="1"/>
        <v>421281</v>
      </c>
      <c r="E13" s="159">
        <v>18750</v>
      </c>
      <c r="F13" s="159">
        <v>394986</v>
      </c>
      <c r="G13" s="159">
        <v>7545</v>
      </c>
      <c r="H13" s="159">
        <f t="shared" si="2"/>
        <v>169081</v>
      </c>
      <c r="I13" s="159">
        <v>36100</v>
      </c>
      <c r="J13" s="159">
        <v>130374</v>
      </c>
      <c r="K13" s="159">
        <v>2607</v>
      </c>
    </row>
    <row r="14" spans="1:21" s="160" customFormat="1" ht="23.1" customHeight="1" x14ac:dyDescent="0.25">
      <c r="A14" s="157">
        <f t="shared" si="3"/>
        <v>6</v>
      </c>
      <c r="B14" s="158" t="s">
        <v>263</v>
      </c>
      <c r="C14" s="159">
        <f t="shared" si="0"/>
        <v>559919</v>
      </c>
      <c r="D14" s="159">
        <f t="shared" si="1"/>
        <v>431540</v>
      </c>
      <c r="E14" s="159">
        <v>25950</v>
      </c>
      <c r="F14" s="159">
        <v>398162</v>
      </c>
      <c r="G14" s="159">
        <v>7428</v>
      </c>
      <c r="H14" s="159">
        <f t="shared" si="2"/>
        <v>128379</v>
      </c>
      <c r="I14" s="159">
        <v>24100</v>
      </c>
      <c r="J14" s="159">
        <v>102234</v>
      </c>
      <c r="K14" s="159">
        <v>2045</v>
      </c>
    </row>
    <row r="15" spans="1:21" s="160" customFormat="1" ht="23.1" customHeight="1" x14ac:dyDescent="0.25">
      <c r="A15" s="157">
        <f t="shared" si="3"/>
        <v>7</v>
      </c>
      <c r="B15" s="158" t="s">
        <v>264</v>
      </c>
      <c r="C15" s="159">
        <f t="shared" si="0"/>
        <v>494234</v>
      </c>
      <c r="D15" s="159">
        <f t="shared" si="1"/>
        <v>346639</v>
      </c>
      <c r="E15" s="159">
        <v>20650</v>
      </c>
      <c r="F15" s="159">
        <v>320077</v>
      </c>
      <c r="G15" s="159">
        <v>5912</v>
      </c>
      <c r="H15" s="159">
        <f t="shared" si="2"/>
        <v>147595</v>
      </c>
      <c r="I15" s="159">
        <v>38900</v>
      </c>
      <c r="J15" s="159">
        <v>106564</v>
      </c>
      <c r="K15" s="159">
        <v>2131</v>
      </c>
    </row>
    <row r="16" spans="1:21" s="160" customFormat="1" ht="23.1" customHeight="1" x14ac:dyDescent="0.25">
      <c r="A16" s="157">
        <f t="shared" si="3"/>
        <v>8</v>
      </c>
      <c r="B16" s="158" t="s">
        <v>265</v>
      </c>
      <c r="C16" s="159">
        <f t="shared" si="0"/>
        <v>431114</v>
      </c>
      <c r="D16" s="159">
        <f t="shared" si="1"/>
        <v>308604</v>
      </c>
      <c r="E16" s="159">
        <v>11033</v>
      </c>
      <c r="F16" s="159">
        <v>291824</v>
      </c>
      <c r="G16" s="159">
        <v>5747</v>
      </c>
      <c r="H16" s="159">
        <f t="shared" si="2"/>
        <v>122510</v>
      </c>
      <c r="I16" s="159">
        <v>38151</v>
      </c>
      <c r="J16" s="159">
        <v>82705</v>
      </c>
      <c r="K16" s="159">
        <v>1654</v>
      </c>
    </row>
    <row r="17" spans="1:11" s="160" customFormat="1" ht="23.1" customHeight="1" x14ac:dyDescent="0.25">
      <c r="A17" s="157">
        <f t="shared" si="3"/>
        <v>9</v>
      </c>
      <c r="B17" s="158" t="s">
        <v>266</v>
      </c>
      <c r="C17" s="159">
        <f t="shared" si="0"/>
        <v>611768</v>
      </c>
      <c r="D17" s="159">
        <f t="shared" si="1"/>
        <v>438717</v>
      </c>
      <c r="E17" s="159">
        <v>7000</v>
      </c>
      <c r="F17" s="159">
        <v>423639</v>
      </c>
      <c r="G17" s="159">
        <v>8078</v>
      </c>
      <c r="H17" s="159">
        <f t="shared" si="2"/>
        <v>173051</v>
      </c>
      <c r="I17" s="159">
        <v>17400</v>
      </c>
      <c r="J17" s="159">
        <v>152599</v>
      </c>
      <c r="K17" s="159">
        <v>3052</v>
      </c>
    </row>
    <row r="18" spans="1:11" s="160" customFormat="1" ht="23.1" customHeight="1" x14ac:dyDescent="0.25">
      <c r="A18" s="157">
        <f t="shared" si="3"/>
        <v>10</v>
      </c>
      <c r="B18" s="158" t="s">
        <v>267</v>
      </c>
      <c r="C18" s="159">
        <f t="shared" si="0"/>
        <v>553972</v>
      </c>
      <c r="D18" s="159">
        <f t="shared" si="1"/>
        <v>426171</v>
      </c>
      <c r="E18" s="159">
        <v>3800</v>
      </c>
      <c r="F18" s="159">
        <v>414373</v>
      </c>
      <c r="G18" s="159">
        <v>7998</v>
      </c>
      <c r="H18" s="159">
        <f t="shared" si="2"/>
        <v>127801</v>
      </c>
      <c r="I18" s="159">
        <v>11290</v>
      </c>
      <c r="J18" s="159">
        <v>114226</v>
      </c>
      <c r="K18" s="159">
        <v>2285</v>
      </c>
    </row>
    <row r="19" spans="1:11" s="160" customFormat="1" ht="23.1" customHeight="1" x14ac:dyDescent="0.25">
      <c r="A19" s="157">
        <f t="shared" si="3"/>
        <v>11</v>
      </c>
      <c r="B19" s="158" t="s">
        <v>268</v>
      </c>
      <c r="C19" s="159">
        <f t="shared" si="0"/>
        <v>221961</v>
      </c>
      <c r="D19" s="159">
        <f t="shared" si="1"/>
        <v>193887</v>
      </c>
      <c r="E19" s="159">
        <v>21600</v>
      </c>
      <c r="F19" s="159">
        <v>169374</v>
      </c>
      <c r="G19" s="159">
        <v>2913</v>
      </c>
      <c r="H19" s="159">
        <f t="shared" si="2"/>
        <v>28074</v>
      </c>
      <c r="I19" s="159">
        <v>1600</v>
      </c>
      <c r="J19" s="159">
        <v>25955</v>
      </c>
      <c r="K19" s="159">
        <v>519</v>
      </c>
    </row>
    <row r="20" spans="1:11" s="160" customFormat="1" ht="23.1" customHeight="1" x14ac:dyDescent="0.25">
      <c r="A20" s="157">
        <f t="shared" si="3"/>
        <v>12</v>
      </c>
      <c r="B20" s="158" t="s">
        <v>269</v>
      </c>
      <c r="C20" s="159">
        <f>+D20+H20</f>
        <v>283347</v>
      </c>
      <c r="D20" s="159">
        <f t="shared" si="1"/>
        <v>216595</v>
      </c>
      <c r="E20" s="159">
        <v>1700</v>
      </c>
      <c r="F20" s="159">
        <v>211196</v>
      </c>
      <c r="G20" s="159">
        <v>3699</v>
      </c>
      <c r="H20" s="159">
        <f t="shared" si="2"/>
        <v>66752</v>
      </c>
      <c r="I20" s="159">
        <v>4850</v>
      </c>
      <c r="J20" s="159">
        <v>60688</v>
      </c>
      <c r="K20" s="159">
        <v>1214</v>
      </c>
    </row>
    <row r="21" spans="1:11" s="160" customFormat="1" ht="23.1" customHeight="1" x14ac:dyDescent="0.25">
      <c r="A21" s="157">
        <f t="shared" si="3"/>
        <v>13</v>
      </c>
      <c r="B21" s="158" t="s">
        <v>270</v>
      </c>
      <c r="C21" s="159">
        <f t="shared" si="0"/>
        <v>367482</v>
      </c>
      <c r="D21" s="159">
        <f t="shared" si="1"/>
        <v>290606</v>
      </c>
      <c r="E21" s="159">
        <v>30350</v>
      </c>
      <c r="F21" s="159">
        <f>255064+300</f>
        <v>255364</v>
      </c>
      <c r="G21" s="159">
        <v>4892</v>
      </c>
      <c r="H21" s="159">
        <f t="shared" si="2"/>
        <v>76876</v>
      </c>
      <c r="I21" s="159">
        <v>17730</v>
      </c>
      <c r="J21" s="159">
        <v>57986</v>
      </c>
      <c r="K21" s="159">
        <v>1160</v>
      </c>
    </row>
    <row r="22" spans="1:11" s="162" customFormat="1" ht="23.1" customHeight="1" x14ac:dyDescent="0.2">
      <c r="A22" s="275" t="s">
        <v>258</v>
      </c>
      <c r="B22" s="275"/>
      <c r="C22" s="161">
        <f t="shared" ref="C22:K22" si="4">SUM(C9:C21)</f>
        <v>6322903</v>
      </c>
      <c r="D22" s="161">
        <f t="shared" si="4"/>
        <v>4779951</v>
      </c>
      <c r="E22" s="161">
        <f t="shared" si="4"/>
        <v>519909</v>
      </c>
      <c r="F22" s="161">
        <f t="shared" si="4"/>
        <v>4181606</v>
      </c>
      <c r="G22" s="161">
        <f t="shared" si="4"/>
        <v>78436</v>
      </c>
      <c r="H22" s="161">
        <f t="shared" si="4"/>
        <v>1542952</v>
      </c>
      <c r="I22" s="161">
        <f t="shared" si="4"/>
        <v>338322</v>
      </c>
      <c r="J22" s="161">
        <f t="shared" si="4"/>
        <v>1181009</v>
      </c>
      <c r="K22" s="161">
        <f t="shared" si="4"/>
        <v>23621</v>
      </c>
    </row>
    <row r="23" spans="1:11" ht="15.6" customHeight="1" x14ac:dyDescent="0.25"/>
    <row r="24" spans="1:11" ht="19.5" customHeight="1" x14ac:dyDescent="0.25">
      <c r="G24" s="268" t="s">
        <v>604</v>
      </c>
      <c r="H24" s="273"/>
      <c r="I24" s="273"/>
      <c r="J24" s="273"/>
      <c r="K24" s="273"/>
    </row>
    <row r="26" spans="1:11" ht="15.6" customHeight="1" x14ac:dyDescent="0.25"/>
    <row r="27" spans="1:11" ht="15.6" customHeight="1" x14ac:dyDescent="0.25"/>
    <row r="28" spans="1:11" ht="15.6" customHeight="1" x14ac:dyDescent="0.25"/>
    <row r="29" spans="1:11" ht="15.6" customHeight="1" x14ac:dyDescent="0.25"/>
    <row r="30" spans="1:11" ht="15.6" customHeight="1" x14ac:dyDescent="0.25"/>
  </sheetData>
  <mergeCells count="16">
    <mergeCell ref="G24:K24"/>
    <mergeCell ref="A1:K1"/>
    <mergeCell ref="A2:K2"/>
    <mergeCell ref="I4:K4"/>
    <mergeCell ref="A3:K3"/>
    <mergeCell ref="A22:B22"/>
    <mergeCell ref="A5:A8"/>
    <mergeCell ref="B5:B8"/>
    <mergeCell ref="C5:K5"/>
    <mergeCell ref="C6:C8"/>
    <mergeCell ref="D6:G6"/>
    <mergeCell ref="H6:K6"/>
    <mergeCell ref="D7:D8"/>
    <mergeCell ref="E7:G7"/>
    <mergeCell ref="H7:H8"/>
    <mergeCell ref="I7:K7"/>
  </mergeCells>
  <phoneticPr fontId="2" type="noConversion"/>
  <printOptions horizontalCentered="1"/>
  <pageMargins left="0" right="0" top="0.65" bottom="0.45" header="0.5" footer="0.2"/>
  <pageSetup paperSize="9" orientation="landscape" r:id="rId1"/>
  <headerFooter alignWithMargins="0">
    <oddFooter>&amp;C&amp;P/2 (PL08)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ChiNS2016</vt:lpstr>
      <vt:lpstr>Thu NSNN.PL01</vt:lpstr>
      <vt:lpstr>Chi tổng hợp PL02</vt:lpstr>
      <vt:lpstr>Chi NSNN.PL03</vt:lpstr>
      <vt:lpstr>PL04</vt:lpstr>
      <vt:lpstr>DT.PL05</vt:lpstr>
      <vt:lpstr>PL06 Thu HX</vt:lpstr>
      <vt:lpstr>PL07 HX hưởng</vt:lpstr>
      <vt:lpstr>PL08 Chi HX</vt:lpstr>
      <vt:lpstr>PL09 Đất</vt:lpstr>
      <vt:lpstr>'Chi NSNN.PL03'!Print_Area</vt:lpstr>
      <vt:lpstr>ChiNS2016!Print_Area</vt:lpstr>
      <vt:lpstr>'PL07 HX hưởng'!Print_Area</vt:lpstr>
      <vt:lpstr>'PL08 Chi HX'!Print_Area</vt:lpstr>
      <vt:lpstr>'PL09 Đất'!Print_Area</vt:lpstr>
      <vt:lpstr>'Thu NSNN.PL01'!Print_Area</vt:lpstr>
      <vt:lpstr>'Chi NSNN.PL03'!Print_Titles</vt:lpstr>
      <vt:lpstr>'Chi tổng hợp PL02'!Print_Titles</vt:lpstr>
      <vt:lpstr>ChiNS2016!Print_Titles</vt:lpstr>
      <vt:lpstr>DT.PL05!Print_Titles</vt:lpstr>
      <vt:lpstr>'PL04'!Print_Titles</vt:lpstr>
      <vt:lpstr>'PL08 Chi HX'!Print_Titles</vt:lpstr>
      <vt:lpstr>'Thu NSNN.PL01'!Print_Titles</vt:lpstr>
    </vt:vector>
  </TitlesOfParts>
  <Company>So Tai chinh Ha Tinh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Van Ngoc</dc:creator>
  <cp:lastModifiedBy>H2C</cp:lastModifiedBy>
  <cp:lastPrinted>2016-12-09T09:10:52Z</cp:lastPrinted>
  <dcterms:created xsi:type="dcterms:W3CDTF">2012-12-13T00:57:34Z</dcterms:created>
  <dcterms:modified xsi:type="dcterms:W3CDTF">2016-12-10T03:41:05Z</dcterms:modified>
</cp:coreProperties>
</file>