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132" windowWidth="14880" windowHeight="9108" activeTab="7"/>
  </bookViews>
  <sheets>
    <sheet name="Thu NSNN.PL01" sheetId="1" r:id="rId1"/>
    <sheet name="Chi NSNN.PL02" sheetId="2" r:id="rId2"/>
    <sheet name="PL03" sheetId="7" r:id="rId3"/>
    <sheet name="PL04" sheetId="6" r:id="rId4"/>
    <sheet name="PL05" sheetId="5" r:id="rId5"/>
    <sheet name="PL06" sheetId="4" r:id="rId6"/>
    <sheet name="PL07" sheetId="3" r:id="rId7"/>
    <sheet name="PL08" sheetId="11" r:id="rId8"/>
  </sheets>
  <externalReferences>
    <externalReference r:id="rId9"/>
    <externalReference r:id="rId10"/>
    <externalReference r:id="rId11"/>
  </externalReferences>
  <definedNames>
    <definedName name="_xlnm._FilterDatabase" localSheetId="0" hidden="1">'Thu NSNN.PL01'!$A$4:$D$54</definedName>
    <definedName name="_xlnm.Print_Area" localSheetId="1">'Chi NSNN.PL02'!$A$1:$F$328</definedName>
    <definedName name="_xlnm.Print_Area" localSheetId="2">'PL03'!$A$1:$H$193</definedName>
    <definedName name="_xlnm.Print_Area" localSheetId="4">'PL05'!$A$1:$O$22</definedName>
    <definedName name="_xlnm.Print_Area" localSheetId="5">'PL06'!$A$1:$L$29</definedName>
    <definedName name="_xlnm.Print_Area" localSheetId="0">'Thu NSNN.PL01'!$A$1:$D$54</definedName>
    <definedName name="_xlnm.Print_Titles" localSheetId="1">'Chi NSNN.PL02'!$9:$11</definedName>
    <definedName name="_xlnm.Print_Titles" localSheetId="2">'PL03'!$8:$9</definedName>
    <definedName name="_xlnm.Print_Titles" localSheetId="3">'PL04'!$8:$10</definedName>
    <definedName name="_xlnm.Print_Titles" localSheetId="7">'PL08'!$8:$13</definedName>
    <definedName name="_xlnm.Print_Titles" localSheetId="0">'Thu NSNN.PL01'!$8:$11</definedName>
  </definedNames>
  <calcPr calcId="144525"/>
</workbook>
</file>

<file path=xl/calcChain.xml><?xml version="1.0" encoding="utf-8"?>
<calcChain xmlns="http://schemas.openxmlformats.org/spreadsheetml/2006/main">
  <c r="D82" i="2" l="1"/>
  <c r="D89" i="2"/>
  <c r="B13" i="1" l="1"/>
  <c r="D203" i="2" l="1"/>
  <c r="C203" i="2" s="1"/>
  <c r="D14" i="2" l="1"/>
  <c r="D41" i="2"/>
  <c r="C41" i="2" s="1"/>
  <c r="G192" i="7"/>
  <c r="D196" i="2"/>
  <c r="D127" i="2"/>
  <c r="D126" i="2" s="1"/>
  <c r="D317" i="2"/>
  <c r="D147" i="2"/>
  <c r="M130" i="11" l="1"/>
  <c r="L130" i="11"/>
  <c r="K130" i="11"/>
  <c r="J130" i="11"/>
  <c r="I130" i="11"/>
  <c r="H130" i="11"/>
  <c r="G130" i="11"/>
  <c r="F130" i="11"/>
  <c r="E130" i="11"/>
  <c r="M98" i="11"/>
  <c r="L98" i="11"/>
  <c r="K98" i="11"/>
  <c r="J98" i="11"/>
  <c r="I98" i="11"/>
  <c r="H98" i="11"/>
  <c r="G98" i="11"/>
  <c r="F98" i="11"/>
  <c r="F88" i="11" s="1"/>
  <c r="E98" i="11"/>
  <c r="M89" i="11"/>
  <c r="M88" i="11" s="1"/>
  <c r="L89" i="11"/>
  <c r="K89" i="11"/>
  <c r="K88" i="11" s="1"/>
  <c r="J89" i="11"/>
  <c r="I89" i="11"/>
  <c r="I88" i="11" s="1"/>
  <c r="H89" i="11"/>
  <c r="G89" i="11"/>
  <c r="G88" i="11" s="1"/>
  <c r="F89" i="11"/>
  <c r="E89" i="11"/>
  <c r="L88" i="11"/>
  <c r="J88" i="11"/>
  <c r="H88" i="11"/>
  <c r="M54" i="11"/>
  <c r="L54" i="11"/>
  <c r="K54" i="11"/>
  <c r="J54" i="11"/>
  <c r="I54" i="11"/>
  <c r="H54" i="11"/>
  <c r="G54" i="11"/>
  <c r="F54" i="11"/>
  <c r="E54" i="11"/>
  <c r="M41" i="11"/>
  <c r="L41" i="11"/>
  <c r="L40" i="11" s="1"/>
  <c r="K41" i="11"/>
  <c r="J41" i="11"/>
  <c r="J40" i="11" s="1"/>
  <c r="I41" i="11"/>
  <c r="H41" i="11"/>
  <c r="H40" i="11" s="1"/>
  <c r="G41" i="11"/>
  <c r="G40" i="11" s="1"/>
  <c r="F41" i="11"/>
  <c r="E41" i="11"/>
  <c r="M40" i="11"/>
  <c r="K40" i="11"/>
  <c r="I40" i="11"/>
  <c r="E40" i="11"/>
  <c r="M34" i="11"/>
  <c r="L34" i="11"/>
  <c r="K34" i="11"/>
  <c r="J34" i="11"/>
  <c r="I34" i="11"/>
  <c r="H34" i="11"/>
  <c r="G34" i="11"/>
  <c r="F34" i="11"/>
  <c r="E34" i="11"/>
  <c r="M19" i="11"/>
  <c r="L19" i="11"/>
  <c r="K19" i="11"/>
  <c r="J19" i="11"/>
  <c r="I19" i="11"/>
  <c r="H19" i="11"/>
  <c r="G19" i="11"/>
  <c r="F19" i="11"/>
  <c r="E19" i="11"/>
  <c r="M16" i="11"/>
  <c r="L16" i="11"/>
  <c r="L15" i="11" s="1"/>
  <c r="L14" i="11" s="1"/>
  <c r="K16" i="11"/>
  <c r="J16" i="11"/>
  <c r="J15" i="11" s="1"/>
  <c r="J14" i="11" s="1"/>
  <c r="I16" i="11"/>
  <c r="H16" i="11"/>
  <c r="H15" i="11" s="1"/>
  <c r="H14" i="11" s="1"/>
  <c r="G16" i="11"/>
  <c r="F16" i="11"/>
  <c r="F15" i="11" s="1"/>
  <c r="E16" i="11"/>
  <c r="M15" i="11"/>
  <c r="K15" i="11"/>
  <c r="K14" i="11" s="1"/>
  <c r="I15" i="11"/>
  <c r="G15" i="11"/>
  <c r="E15" i="11"/>
  <c r="E88" i="11" l="1"/>
  <c r="E14" i="11" s="1"/>
  <c r="F40" i="11"/>
  <c r="F14" i="11"/>
  <c r="G14" i="11"/>
  <c r="I14" i="11"/>
  <c r="M14" i="11"/>
  <c r="C17" i="2" l="1"/>
  <c r="D177" i="2" l="1"/>
  <c r="D212" i="2"/>
  <c r="D217" i="2" s="1"/>
  <c r="D259" i="2" l="1"/>
  <c r="D151" i="7"/>
  <c r="D134" i="7"/>
  <c r="E317" i="2" l="1"/>
  <c r="F18" i="3"/>
  <c r="H15" i="4"/>
  <c r="F21" i="3"/>
  <c r="F20" i="3"/>
  <c r="H18" i="4"/>
  <c r="H17" i="4"/>
  <c r="O22" i="5"/>
  <c r="N22" i="5"/>
  <c r="M22" i="5"/>
  <c r="L22" i="5"/>
  <c r="K22" i="5"/>
  <c r="J22" i="5"/>
  <c r="I22" i="5"/>
  <c r="H22" i="5"/>
  <c r="G22" i="5"/>
  <c r="F22" i="5"/>
  <c r="E22" i="5"/>
  <c r="D22" i="5"/>
  <c r="C21" i="5"/>
  <c r="C20" i="5"/>
  <c r="C19" i="5"/>
  <c r="C18" i="5"/>
  <c r="C17" i="5"/>
  <c r="C16" i="5"/>
  <c r="C15" i="5"/>
  <c r="C14" i="5"/>
  <c r="C13" i="5"/>
  <c r="C12" i="5"/>
  <c r="C11" i="5"/>
  <c r="C10" i="5"/>
  <c r="C9" i="5"/>
  <c r="D148" i="2"/>
  <c r="D129" i="2" s="1"/>
  <c r="D280" i="2"/>
  <c r="C22" i="5" l="1"/>
  <c r="F317" i="2"/>
  <c r="D308" i="2"/>
  <c r="B16" i="1"/>
  <c r="B17" i="1"/>
  <c r="B18" i="1"/>
  <c r="B19" i="1"/>
  <c r="B20" i="1"/>
  <c r="B21" i="1"/>
  <c r="B22" i="1"/>
  <c r="B23" i="1"/>
  <c r="B24" i="1"/>
  <c r="B25" i="1"/>
  <c r="B26" i="1"/>
  <c r="B27" i="1"/>
  <c r="B28" i="1"/>
  <c r="B29" i="1"/>
  <c r="B15" i="1"/>
  <c r="D309" i="2"/>
  <c r="D307" i="2"/>
  <c r="D253" i="2"/>
  <c r="D232" i="2"/>
  <c r="D226" i="2"/>
  <c r="D174" i="2" l="1"/>
  <c r="B48" i="1"/>
  <c r="H20" i="4"/>
  <c r="G88" i="6"/>
  <c r="G84" i="6"/>
  <c r="G83" i="6"/>
  <c r="G82" i="6"/>
  <c r="G81" i="6"/>
  <c r="G80" i="6"/>
  <c r="G79" i="6"/>
  <c r="G78" i="6"/>
  <c r="G77" i="6"/>
  <c r="G76" i="6"/>
  <c r="G75" i="6"/>
  <c r="G74" i="6"/>
  <c r="G73" i="6"/>
  <c r="G72" i="6"/>
  <c r="G71" i="6"/>
  <c r="G70" i="6"/>
  <c r="G69" i="6"/>
  <c r="G68" i="6"/>
  <c r="G67" i="6"/>
  <c r="G66" i="6"/>
  <c r="G65" i="6"/>
  <c r="G64" i="6"/>
  <c r="G63" i="6"/>
  <c r="G62" i="6"/>
  <c r="F61" i="6"/>
  <c r="E61" i="6"/>
  <c r="D61" i="6"/>
  <c r="C61" i="6"/>
  <c r="G60" i="6"/>
  <c r="G59" i="6"/>
  <c r="G58" i="6"/>
  <c r="G57" i="6"/>
  <c r="G56" i="6"/>
  <c r="G55" i="6"/>
  <c r="G54" i="6"/>
  <c r="G53" i="6"/>
  <c r="G52" i="6"/>
  <c r="G51" i="6"/>
  <c r="G50" i="6"/>
  <c r="G49" i="6"/>
  <c r="G48" i="6"/>
  <c r="G47" i="6"/>
  <c r="G46" i="6"/>
  <c r="G45" i="6"/>
  <c r="G44" i="6"/>
  <c r="G43" i="6"/>
  <c r="F42" i="6"/>
  <c r="E42" i="6"/>
  <c r="D42" i="6"/>
  <c r="C42" i="6"/>
  <c r="G41" i="6"/>
  <c r="G40" i="6"/>
  <c r="G39" i="6"/>
  <c r="G38" i="6"/>
  <c r="G35" i="6"/>
  <c r="G32" i="6"/>
  <c r="G29" i="6"/>
  <c r="G26" i="6"/>
  <c r="G25" i="6"/>
  <c r="F24" i="6"/>
  <c r="E24" i="6"/>
  <c r="D24" i="6"/>
  <c r="C24" i="6"/>
  <c r="G21" i="6"/>
  <c r="G20" i="6"/>
  <c r="H19" i="6"/>
  <c r="F19" i="6"/>
  <c r="E19" i="6"/>
  <c r="D19" i="6"/>
  <c r="C19" i="6"/>
  <c r="G16" i="6"/>
  <c r="G15" i="6"/>
  <c r="H14" i="6"/>
  <c r="F14" i="6"/>
  <c r="E14" i="6"/>
  <c r="D14" i="6"/>
  <c r="D85" i="6" s="1"/>
  <c r="C14" i="6"/>
  <c r="G13" i="6"/>
  <c r="G12" i="6"/>
  <c r="F11" i="6"/>
  <c r="E11" i="6"/>
  <c r="D11" i="6"/>
  <c r="C11" i="6"/>
  <c r="G193" i="7"/>
  <c r="G191" i="7"/>
  <c r="G190" i="7"/>
  <c r="G189" i="7"/>
  <c r="G188" i="7"/>
  <c r="G187" i="7"/>
  <c r="G186" i="7"/>
  <c r="G185" i="7"/>
  <c r="G184" i="7"/>
  <c r="G183" i="7"/>
  <c r="G182" i="7"/>
  <c r="G181" i="7"/>
  <c r="G180" i="7"/>
  <c r="G179" i="7"/>
  <c r="G178" i="7"/>
  <c r="G177" i="7"/>
  <c r="H176" i="7"/>
  <c r="F176" i="7"/>
  <c r="E176" i="7"/>
  <c r="D176" i="7"/>
  <c r="C176" i="7"/>
  <c r="G175" i="7"/>
  <c r="G174" i="7"/>
  <c r="G173" i="7"/>
  <c r="G172" i="7"/>
  <c r="G171" i="7"/>
  <c r="G170" i="7"/>
  <c r="G169" i="7"/>
  <c r="G168" i="7"/>
  <c r="G167" i="7"/>
  <c r="G166" i="7"/>
  <c r="G165" i="7"/>
  <c r="G164" i="7"/>
  <c r="G163" i="7"/>
  <c r="G162" i="7"/>
  <c r="G161" i="7"/>
  <c r="G160" i="7"/>
  <c r="G159" i="7"/>
  <c r="G158" i="7"/>
  <c r="G157" i="7"/>
  <c r="G156" i="7"/>
  <c r="G155" i="7"/>
  <c r="G154" i="7"/>
  <c r="G153" i="7"/>
  <c r="H152" i="7"/>
  <c r="F152" i="7"/>
  <c r="E152" i="7"/>
  <c r="D152" i="7"/>
  <c r="C152" i="7"/>
  <c r="G151" i="7"/>
  <c r="G150" i="7"/>
  <c r="G149" i="7"/>
  <c r="G148" i="7"/>
  <c r="G147" i="7"/>
  <c r="G146" i="7"/>
  <c r="G145" i="7"/>
  <c r="G144" i="7"/>
  <c r="G143" i="7"/>
  <c r="G142" i="7"/>
  <c r="G141" i="7"/>
  <c r="G140" i="7"/>
  <c r="G139" i="7"/>
  <c r="G138" i="7"/>
  <c r="G137" i="7"/>
  <c r="G136" i="7"/>
  <c r="G135" i="7"/>
  <c r="G134" i="7"/>
  <c r="G133" i="7"/>
  <c r="G132" i="7"/>
  <c r="G131" i="7"/>
  <c r="G130" i="7"/>
  <c r="G129" i="7"/>
  <c r="G128" i="7"/>
  <c r="G127" i="7"/>
  <c r="G126" i="7"/>
  <c r="G125" i="7"/>
  <c r="G124" i="7"/>
  <c r="G123" i="7"/>
  <c r="G122" i="7"/>
  <c r="G121" i="7"/>
  <c r="G120" i="7"/>
  <c r="H119" i="7"/>
  <c r="F119" i="7"/>
  <c r="E119" i="7"/>
  <c r="D119" i="7"/>
  <c r="C119" i="7"/>
  <c r="G118" i="7"/>
  <c r="G117" i="7"/>
  <c r="G116" i="7"/>
  <c r="G115" i="7"/>
  <c r="G114" i="7"/>
  <c r="G113" i="7"/>
  <c r="G112" i="7"/>
  <c r="G111" i="7"/>
  <c r="H110" i="7"/>
  <c r="F110" i="7"/>
  <c r="E110" i="7"/>
  <c r="D110" i="7"/>
  <c r="C110" i="7"/>
  <c r="G109" i="7"/>
  <c r="G108" i="7"/>
  <c r="G107" i="7"/>
  <c r="G106" i="7"/>
  <c r="G105" i="7"/>
  <c r="G104" i="7"/>
  <c r="G103" i="7"/>
  <c r="G102" i="7"/>
  <c r="G101" i="7"/>
  <c r="G100" i="7"/>
  <c r="G99" i="7"/>
  <c r="G98" i="7"/>
  <c r="G97" i="7"/>
  <c r="G96" i="7"/>
  <c r="G95" i="7"/>
  <c r="G94" i="7"/>
  <c r="G93" i="7"/>
  <c r="G92" i="7"/>
  <c r="G91" i="7"/>
  <c r="G90" i="7"/>
  <c r="G89" i="7"/>
  <c r="G88" i="7"/>
  <c r="G87" i="7"/>
  <c r="G86" i="7"/>
  <c r="G85" i="7"/>
  <c r="G84" i="7"/>
  <c r="G83" i="7"/>
  <c r="G82" i="7"/>
  <c r="G81" i="7"/>
  <c r="G80" i="7"/>
  <c r="G79" i="7"/>
  <c r="G78" i="7"/>
  <c r="G77" i="7"/>
  <c r="G76" i="7"/>
  <c r="G75" i="7"/>
  <c r="G74" i="7"/>
  <c r="G73" i="7"/>
  <c r="G72" i="7"/>
  <c r="G71" i="7"/>
  <c r="H70" i="7"/>
  <c r="F70" i="7"/>
  <c r="E70" i="7"/>
  <c r="D70" i="7"/>
  <c r="C70" i="7"/>
  <c r="G69" i="7"/>
  <c r="G68" i="7"/>
  <c r="G67" i="7"/>
  <c r="G66" i="7"/>
  <c r="G65" i="7"/>
  <c r="G64" i="7"/>
  <c r="G63" i="7"/>
  <c r="G62" i="7"/>
  <c r="G61" i="7"/>
  <c r="G60" i="7"/>
  <c r="G59" i="7"/>
  <c r="G58" i="7"/>
  <c r="G57" i="7"/>
  <c r="G56" i="7"/>
  <c r="G55" i="7"/>
  <c r="G54" i="7"/>
  <c r="G53" i="7"/>
  <c r="G52" i="7"/>
  <c r="G51" i="7"/>
  <c r="G50" i="7"/>
  <c r="G49" i="7"/>
  <c r="G48" i="7"/>
  <c r="G47" i="7"/>
  <c r="G46" i="7"/>
  <c r="G45" i="7"/>
  <c r="G44" i="7"/>
  <c r="H43" i="7"/>
  <c r="F43" i="7"/>
  <c r="E43" i="7"/>
  <c r="D43" i="7"/>
  <c r="C43" i="7"/>
  <c r="G42" i="7"/>
  <c r="G41" i="7"/>
  <c r="G40" i="7"/>
  <c r="G39" i="7"/>
  <c r="G38" i="7"/>
  <c r="G37" i="7"/>
  <c r="G36" i="7"/>
  <c r="G35" i="7"/>
  <c r="G34" i="7"/>
  <c r="G33" i="7"/>
  <c r="G32" i="7"/>
  <c r="G31" i="7"/>
  <c r="G30" i="7"/>
  <c r="G29" i="7"/>
  <c r="G28" i="7"/>
  <c r="G27" i="7"/>
  <c r="G26" i="7"/>
  <c r="G25" i="7"/>
  <c r="G24" i="7"/>
  <c r="G23" i="7"/>
  <c r="G22" i="7"/>
  <c r="G21" i="7"/>
  <c r="G20" i="7"/>
  <c r="G19" i="7"/>
  <c r="G18" i="7"/>
  <c r="G17" i="7"/>
  <c r="G16" i="7"/>
  <c r="G15" i="7"/>
  <c r="G14" i="7"/>
  <c r="G13" i="7"/>
  <c r="H12" i="7"/>
  <c r="F12" i="7"/>
  <c r="E12" i="7"/>
  <c r="D12" i="7"/>
  <c r="D11" i="7" s="1"/>
  <c r="C12" i="7"/>
  <c r="G14" i="6" l="1"/>
  <c r="G176" i="7"/>
  <c r="H85" i="6"/>
  <c r="G24" i="6"/>
  <c r="G11" i="6"/>
  <c r="G42" i="6"/>
  <c r="E85" i="6"/>
  <c r="G19" i="6"/>
  <c r="F85" i="6"/>
  <c r="C85" i="6"/>
  <c r="G61" i="6"/>
  <c r="C11" i="7"/>
  <c r="C10" i="7" s="1"/>
  <c r="H11" i="7"/>
  <c r="H10" i="7" s="1"/>
  <c r="E11" i="7"/>
  <c r="E10" i="7" s="1"/>
  <c r="F11" i="7"/>
  <c r="F10" i="7" s="1"/>
  <c r="G43" i="7"/>
  <c r="G119" i="7"/>
  <c r="G70" i="7"/>
  <c r="G12" i="7"/>
  <c r="G152" i="7"/>
  <c r="G110" i="7"/>
  <c r="D10" i="7"/>
  <c r="G85" i="6" l="1"/>
  <c r="G87" i="6" s="1"/>
  <c r="G11" i="7"/>
  <c r="G10" i="7"/>
  <c r="D316" i="2"/>
  <c r="E174" i="2"/>
  <c r="E81" i="2"/>
  <c r="E170" i="2"/>
  <c r="F174" i="2"/>
  <c r="F170" i="2"/>
  <c r="F152" i="2"/>
  <c r="D91" i="2"/>
  <c r="F209" i="2"/>
  <c r="D90" i="2"/>
  <c r="D108" i="2"/>
  <c r="C30" i="1"/>
  <c r="D92" i="2"/>
  <c r="D83" i="2"/>
  <c r="D73" i="2"/>
  <c r="D60" i="2"/>
  <c r="D75" i="2"/>
  <c r="E75" i="2"/>
  <c r="F75" i="2"/>
  <c r="D81" i="2" l="1"/>
  <c r="H13" i="3" l="1"/>
  <c r="D13" i="3"/>
  <c r="G10" i="4"/>
  <c r="L21" i="4"/>
  <c r="K21" i="4"/>
  <c r="L20" i="4"/>
  <c r="K20" i="4"/>
  <c r="L19" i="4"/>
  <c r="K19" i="4"/>
  <c r="L18" i="4"/>
  <c r="K18" i="4"/>
  <c r="L17" i="4"/>
  <c r="K17" i="4"/>
  <c r="L16" i="4"/>
  <c r="K16" i="4"/>
  <c r="L15" i="4"/>
  <c r="K15" i="4"/>
  <c r="L14" i="4"/>
  <c r="K14" i="4"/>
  <c r="L13" i="4"/>
  <c r="K13" i="4"/>
  <c r="L12" i="4"/>
  <c r="K12" i="4"/>
  <c r="L11" i="4"/>
  <c r="K11" i="4"/>
  <c r="L10" i="4"/>
  <c r="K10" i="4"/>
  <c r="L9" i="4"/>
  <c r="K9" i="4"/>
  <c r="D10" i="4"/>
  <c r="F314" i="2"/>
  <c r="F101" i="2"/>
  <c r="E209" i="2"/>
  <c r="D306" i="2"/>
  <c r="D293" i="2" s="1"/>
  <c r="J10" i="4" l="1"/>
  <c r="C13" i="3"/>
  <c r="D248" i="2"/>
  <c r="C40" i="2"/>
  <c r="C38" i="2"/>
  <c r="E35" i="2"/>
  <c r="E26" i="2"/>
  <c r="C30" i="2"/>
  <c r="F26" i="2"/>
  <c r="D23" i="2"/>
  <c r="C42" i="1"/>
  <c r="B42" i="1" s="1"/>
  <c r="C48" i="1"/>
  <c r="C47" i="1" s="1"/>
  <c r="B47" i="1"/>
  <c r="E314" i="2"/>
  <c r="E152" i="2"/>
  <c r="E129" i="2"/>
  <c r="F44" i="2"/>
  <c r="F43" i="2" s="1"/>
  <c r="E44" i="2"/>
  <c r="E43" i="2" l="1"/>
  <c r="D26" i="2"/>
  <c r="D123" i="2"/>
  <c r="D103" i="2"/>
  <c r="C326" i="2"/>
  <c r="C325" i="2"/>
  <c r="C324" i="2"/>
  <c r="C323" i="2"/>
  <c r="C322" i="2"/>
  <c r="C321" i="2"/>
  <c r="C320" i="2"/>
  <c r="C319" i="2"/>
  <c r="C318" i="2"/>
  <c r="C317" i="2"/>
  <c r="C316" i="2"/>
  <c r="C315" i="2"/>
  <c r="C314" i="2"/>
  <c r="C313" i="2"/>
  <c r="D290" i="2"/>
  <c r="D283" i="2"/>
  <c r="D275" i="2"/>
  <c r="D271" i="2"/>
  <c r="D268" i="2"/>
  <c r="D262" i="2"/>
  <c r="D252" i="2"/>
  <c r="C211" i="2"/>
  <c r="C210" i="2"/>
  <c r="C209" i="2"/>
  <c r="C208" i="2"/>
  <c r="C207" i="2"/>
  <c r="C206" i="2"/>
  <c r="C205" i="2"/>
  <c r="C204" i="2"/>
  <c r="D170" i="2"/>
  <c r="D167" i="2"/>
  <c r="D153" i="2"/>
  <c r="D145" i="2"/>
  <c r="D118" i="2"/>
  <c r="D117" i="2"/>
  <c r="C75" i="2"/>
  <c r="D59" i="2"/>
  <c r="C42" i="2"/>
  <c r="C39" i="2"/>
  <c r="C37" i="2"/>
  <c r="C36" i="2"/>
  <c r="C33" i="2"/>
  <c r="C32" i="2"/>
  <c r="C31" i="2"/>
  <c r="C29" i="2"/>
  <c r="C28" i="2"/>
  <c r="C27" i="2"/>
  <c r="C25" i="2"/>
  <c r="C23" i="2"/>
  <c r="C21" i="2"/>
  <c r="F20" i="2"/>
  <c r="E20" i="2"/>
  <c r="E13" i="2" s="1"/>
  <c r="D20" i="2"/>
  <c r="D13" i="2" s="1"/>
  <c r="C19" i="2"/>
  <c r="C18" i="2"/>
  <c r="C15" i="2"/>
  <c r="L22" i="4"/>
  <c r="D11" i="4"/>
  <c r="D12" i="4"/>
  <c r="D13" i="4"/>
  <c r="D14" i="4"/>
  <c r="D15" i="4"/>
  <c r="D16" i="4"/>
  <c r="D17" i="4"/>
  <c r="D18" i="4"/>
  <c r="D19" i="4"/>
  <c r="D20" i="4"/>
  <c r="D21" i="4"/>
  <c r="D9" i="4"/>
  <c r="K22" i="4"/>
  <c r="J9" i="4"/>
  <c r="J11" i="4"/>
  <c r="J12" i="4"/>
  <c r="J13" i="4"/>
  <c r="J14" i="4"/>
  <c r="J15" i="4"/>
  <c r="J16" i="4"/>
  <c r="J17" i="4"/>
  <c r="J18" i="4"/>
  <c r="J19" i="4"/>
  <c r="J20" i="4"/>
  <c r="J21" i="4"/>
  <c r="I22" i="4"/>
  <c r="H22" i="4"/>
  <c r="G9" i="4"/>
  <c r="G11" i="4"/>
  <c r="G12" i="4"/>
  <c r="G13" i="4"/>
  <c r="G14" i="4"/>
  <c r="G15" i="4"/>
  <c r="G16" i="4"/>
  <c r="G17" i="4"/>
  <c r="G18" i="4"/>
  <c r="G19" i="4"/>
  <c r="G20" i="4"/>
  <c r="G21" i="4"/>
  <c r="F22" i="4"/>
  <c r="E22" i="4"/>
  <c r="K25" i="3"/>
  <c r="J25" i="3"/>
  <c r="I29" i="3"/>
  <c r="I25" i="3"/>
  <c r="H12" i="3"/>
  <c r="H14" i="3"/>
  <c r="H15" i="3"/>
  <c r="H16" i="3"/>
  <c r="H17" i="3"/>
  <c r="H18" i="3"/>
  <c r="H19" i="3"/>
  <c r="H20" i="3"/>
  <c r="H21" i="3"/>
  <c r="H22" i="3"/>
  <c r="H23" i="3"/>
  <c r="H24" i="3"/>
  <c r="H29" i="3"/>
  <c r="G25" i="3"/>
  <c r="F25" i="3"/>
  <c r="E29" i="3"/>
  <c r="E25" i="3"/>
  <c r="D12" i="3"/>
  <c r="D14" i="3"/>
  <c r="D15" i="3"/>
  <c r="D16" i="3"/>
  <c r="D17" i="3"/>
  <c r="D18" i="3"/>
  <c r="D19" i="3"/>
  <c r="D20" i="3"/>
  <c r="D21" i="3"/>
  <c r="D22" i="3"/>
  <c r="D23" i="3"/>
  <c r="D24" i="3"/>
  <c r="D29" i="3"/>
  <c r="I32" i="4"/>
  <c r="H32" i="4"/>
  <c r="F32" i="4"/>
  <c r="E32" i="4"/>
  <c r="I26" i="4"/>
  <c r="H26" i="4"/>
  <c r="G26" i="4"/>
  <c r="F25" i="4"/>
  <c r="E25" i="4"/>
  <c r="I25" i="4"/>
  <c r="H25" i="4"/>
  <c r="G25" i="4"/>
  <c r="C24" i="4"/>
  <c r="I23" i="4"/>
  <c r="H23" i="4"/>
  <c r="G23" i="4"/>
  <c r="F23" i="4"/>
  <c r="E23" i="4"/>
  <c r="C22" i="4"/>
  <c r="O31" i="5"/>
  <c r="N31" i="5"/>
  <c r="N32" i="5" s="1"/>
  <c r="M31" i="5"/>
  <c r="L31" i="5"/>
  <c r="L32" i="5" s="1"/>
  <c r="K31" i="5"/>
  <c r="J31" i="5"/>
  <c r="J32" i="5" s="1"/>
  <c r="I31" i="5"/>
  <c r="I32" i="5" s="1"/>
  <c r="H31" i="5"/>
  <c r="H32" i="5" s="1"/>
  <c r="G31" i="5"/>
  <c r="F31" i="5"/>
  <c r="E31" i="5"/>
  <c r="D31" i="5"/>
  <c r="D32" i="5" s="1"/>
  <c r="C30" i="5"/>
  <c r="O23" i="5"/>
  <c r="O24" i="5" s="1"/>
  <c r="N23" i="5"/>
  <c r="N24" i="5" s="1"/>
  <c r="M23" i="5"/>
  <c r="L23" i="5"/>
  <c r="K23" i="5"/>
  <c r="K24" i="5" s="1"/>
  <c r="J23" i="5"/>
  <c r="J24" i="5" s="1"/>
  <c r="I23" i="5"/>
  <c r="H23" i="5"/>
  <c r="G23" i="5"/>
  <c r="G24" i="5" s="1"/>
  <c r="F23" i="5"/>
  <c r="F24" i="5" s="1"/>
  <c r="E23" i="5"/>
  <c r="D23" i="5"/>
  <c r="D30" i="1"/>
  <c r="B37" i="1"/>
  <c r="B38" i="1"/>
  <c r="B33" i="1"/>
  <c r="B34" i="1"/>
  <c r="B36" i="1"/>
  <c r="D14" i="1"/>
  <c r="D13" i="1" s="1"/>
  <c r="D44" i="1"/>
  <c r="C14" i="1"/>
  <c r="C13" i="1" s="1"/>
  <c r="C12" i="1" s="1"/>
  <c r="B45" i="1"/>
  <c r="B31" i="1"/>
  <c r="B39" i="1"/>
  <c r="F13" i="2" l="1"/>
  <c r="F12" i="2" s="1"/>
  <c r="E12" i="2"/>
  <c r="C18" i="3"/>
  <c r="C14" i="3"/>
  <c r="C15" i="3"/>
  <c r="D22" i="4"/>
  <c r="E26" i="4"/>
  <c r="C23" i="3"/>
  <c r="C19" i="3"/>
  <c r="D58" i="2"/>
  <c r="D44" i="2" s="1"/>
  <c r="C170" i="2"/>
  <c r="C118" i="2"/>
  <c r="C123" i="2"/>
  <c r="D107" i="2"/>
  <c r="C22" i="3"/>
  <c r="I33" i="4"/>
  <c r="D101" i="2"/>
  <c r="C101" i="2" s="1"/>
  <c r="D25" i="3"/>
  <c r="J29" i="3"/>
  <c r="J30" i="3" s="1"/>
  <c r="F29" i="3"/>
  <c r="F30" i="3" s="1"/>
  <c r="E30" i="3"/>
  <c r="C24" i="3"/>
  <c r="C20" i="3"/>
  <c r="C16" i="3"/>
  <c r="K29" i="3"/>
  <c r="K30" i="3" s="1"/>
  <c r="C21" i="3"/>
  <c r="C17" i="3"/>
  <c r="H25" i="3"/>
  <c r="I30" i="3"/>
  <c r="C12" i="3"/>
  <c r="G29" i="3"/>
  <c r="G30" i="3" s="1"/>
  <c r="J22" i="4"/>
  <c r="H33" i="4"/>
  <c r="G22" i="4"/>
  <c r="F33" i="4"/>
  <c r="F26" i="4"/>
  <c r="E33" i="4"/>
  <c r="D24" i="5"/>
  <c r="H24" i="5"/>
  <c r="L24" i="5"/>
  <c r="E32" i="5"/>
  <c r="M32" i="5"/>
  <c r="E24" i="5"/>
  <c r="I24" i="5"/>
  <c r="M24" i="5"/>
  <c r="G32" i="5"/>
  <c r="D12" i="1"/>
  <c r="D41" i="1" s="1"/>
  <c r="D43" i="1" s="1"/>
  <c r="D54" i="1" s="1"/>
  <c r="C31" i="5"/>
  <c r="C32" i="5" s="1"/>
  <c r="K32" i="5"/>
  <c r="O32" i="5"/>
  <c r="B14" i="1"/>
  <c r="D245" i="2"/>
  <c r="C35" i="2"/>
  <c r="C34" i="2"/>
  <c r="C174" i="2"/>
  <c r="C20" i="2"/>
  <c r="C26" i="2"/>
  <c r="D152" i="2"/>
  <c r="C14" i="2"/>
  <c r="B30" i="1"/>
  <c r="C41" i="1"/>
  <c r="C43" i="1" s="1"/>
  <c r="B44" i="1"/>
  <c r="C44" i="1"/>
  <c r="F32" i="5"/>
  <c r="C54" i="1" l="1"/>
  <c r="D43" i="2"/>
  <c r="B54" i="1"/>
  <c r="D220" i="2"/>
  <c r="D219" i="2" s="1"/>
  <c r="C13" i="2"/>
  <c r="C129" i="2"/>
  <c r="C152" i="2"/>
  <c r="C107" i="2"/>
  <c r="C44" i="2"/>
  <c r="D30" i="3"/>
  <c r="C25" i="3"/>
  <c r="H30" i="3"/>
  <c r="C81" i="2"/>
  <c r="B12" i="1"/>
  <c r="D12" i="2" l="1"/>
  <c r="B41" i="1"/>
  <c r="B43" i="1" s="1"/>
  <c r="C219" i="2" l="1"/>
  <c r="C212" i="2" l="1"/>
  <c r="C12" i="2" l="1"/>
  <c r="C43" i="2"/>
</calcChain>
</file>

<file path=xl/sharedStrings.xml><?xml version="1.0" encoding="utf-8"?>
<sst xmlns="http://schemas.openxmlformats.org/spreadsheetml/2006/main" count="1344" uniqueCount="1044">
  <si>
    <t>Đơn vị: Triệu đồng</t>
  </si>
  <si>
    <t>CÁC CHỈ TIÊU</t>
  </si>
  <si>
    <t xml:space="preserve">Tổng số </t>
  </si>
  <si>
    <t>Trong đó</t>
  </si>
  <si>
    <t>Tỉnh thu</t>
  </si>
  <si>
    <t>A</t>
  </si>
  <si>
    <t xml:space="preserve">         - Thu DN trong nước</t>
  </si>
  <si>
    <t xml:space="preserve">         - Thu từ DN nước ngoài</t>
  </si>
  <si>
    <t>II-THU KHÁC NGÂN SÁCH</t>
  </si>
  <si>
    <t xml:space="preserve">Thu học phí </t>
  </si>
  <si>
    <t>Thu viện phí</t>
  </si>
  <si>
    <t>Phí môi trường</t>
  </si>
  <si>
    <t xml:space="preserve">Thu viện trợ </t>
  </si>
  <si>
    <t xml:space="preserve">Thu hồi dự án khoa học </t>
  </si>
  <si>
    <t xml:space="preserve">Thu từ kết quả chống buôn lậu, xử phạt, tịch thu cấp lại </t>
  </si>
  <si>
    <t xml:space="preserve">Thu đóng góp XDCS hạ tầng tại xã </t>
  </si>
  <si>
    <t xml:space="preserve">Thu từ các hoạt động HCSN, các khoản thu khác </t>
  </si>
  <si>
    <t>Tổng thu NSNN trên địa bàn (A+B+C)</t>
  </si>
  <si>
    <t xml:space="preserve">                * Thu NSĐP </t>
  </si>
  <si>
    <t>1. Bổ sung cân đối,CCTL, CĐCS</t>
  </si>
  <si>
    <t xml:space="preserve"> - Bổ sung có MT bằng vốn trong nước</t>
  </si>
  <si>
    <t xml:space="preserve"> - Bổ sung có MT bằng vốn nước ngoài</t>
  </si>
  <si>
    <t>TỔNG THU NSĐP</t>
  </si>
  <si>
    <t xml:space="preserve">Chia ra:    * Thu NSTW </t>
  </si>
  <si>
    <t xml:space="preserve">  Trong đó: - Thu phạt ATGT </t>
  </si>
  <si>
    <t>Huyện, xã thu</t>
  </si>
  <si>
    <t>Thu phí dịch vụ VH, TT, DL</t>
  </si>
  <si>
    <t>2. Bổ sung nguồn thực hiện CCTL</t>
  </si>
  <si>
    <t>TT</t>
  </si>
  <si>
    <t>Chỉ tiêu</t>
  </si>
  <si>
    <t xml:space="preserve">C¸c chØ tiªu </t>
  </si>
  <si>
    <t>Tổng số</t>
  </si>
  <si>
    <t>NS tỉnh</t>
  </si>
  <si>
    <t>NS huyện</t>
  </si>
  <si>
    <t>NS xã</t>
  </si>
  <si>
    <t>TỔNG CHI NSĐP</t>
  </si>
  <si>
    <t>I</t>
  </si>
  <si>
    <t>CHI ĐẦU TƯ PHÁT TRIỂN</t>
  </si>
  <si>
    <t>Chi đầu tư XDCB</t>
  </si>
  <si>
    <t>a</t>
  </si>
  <si>
    <t xml:space="preserve">Chi ĐT XDCB tập trung trong nước </t>
  </si>
  <si>
    <t>Trong đó:</t>
  </si>
  <si>
    <t>b</t>
  </si>
  <si>
    <t>Vốn ĐT XDCB nước ngoài</t>
  </si>
  <si>
    <t>c</t>
  </si>
  <si>
    <t xml:space="preserve">Đầu tư có mục tiêu từ NSTW </t>
  </si>
  <si>
    <t>Chi đầu tư từ nguồn để lại theo chế độ quy định</t>
  </si>
  <si>
    <t>Cấp lại có mục tiêu vốn xổ kiến kiến thiết</t>
  </si>
  <si>
    <t>Tiền cấp quyền sử dụng đất</t>
  </si>
  <si>
    <t xml:space="preserve"> Trong đó:</t>
  </si>
  <si>
    <t xml:space="preserve"> - Trích quỹ đất của tỉnh</t>
  </si>
  <si>
    <t xml:space="preserve"> - Nguồn tiền đất còn lại </t>
  </si>
  <si>
    <t xml:space="preserve">   + Theo Đề án Phát triển Quỹ đất</t>
  </si>
  <si>
    <t xml:space="preserve">   + Theo Nguồn vay đầu tư của BTC trên địa bàn TPHT, TXHL</t>
  </si>
  <si>
    <t xml:space="preserve">   + Đất hạ tầng tái định cư dự án Formosa</t>
  </si>
  <si>
    <t xml:space="preserve">   + Trên địa bàn TXHL</t>
  </si>
  <si>
    <t xml:space="preserve">  + Tiền đất PS trên các địa bàn khác</t>
  </si>
  <si>
    <t xml:space="preserve"> * Phân bổ như sau</t>
  </si>
  <si>
    <t xml:space="preserve">  + Đầu tư các mục tiêu do Huyện xã quản lý</t>
  </si>
  <si>
    <t>Chi đầu tư từ nguồn đóng góp XDCSHT, khác</t>
  </si>
  <si>
    <t>II</t>
  </si>
  <si>
    <t>CHI THƯỜNG XUYÊN</t>
  </si>
  <si>
    <t>Sự nghiệp kinh tế</t>
  </si>
  <si>
    <t>1.1</t>
  </si>
  <si>
    <t>Chi sự nghiệp NN, TL, thủy sản (Bao gồm: Tăng biên chế; Các chính sách khuyến nông, khuyên lâm; Chương trình giống cây con, hỗ trợ sản xuất và các chương trình, chính sách trong lĩnh vực nông nghiệp và nông thôn)</t>
  </si>
  <si>
    <t xml:space="preserve">Trong đó:   - Vườn Bảo tồn TN Vũ Quang </t>
  </si>
  <si>
    <t xml:space="preserve">                 - Quản lý bảo vệ rừng theo QĐ 24 (Nguồn SN-NSTW) </t>
  </si>
  <si>
    <t>1.2</t>
  </si>
  <si>
    <t>Sự nghiệp Kiểm Lâm</t>
  </si>
  <si>
    <t>1.3</t>
  </si>
  <si>
    <t>Sự nghiệp công thương (CS dùng hàng việt, TTSP)</t>
  </si>
  <si>
    <t>1.4</t>
  </si>
  <si>
    <t>Phòng chống khắc phục thiên tai</t>
  </si>
  <si>
    <t>1.5</t>
  </si>
  <si>
    <t>1.6</t>
  </si>
  <si>
    <t>Sự nghiệp tài nguyên, đất đai</t>
  </si>
  <si>
    <t>1.7</t>
  </si>
  <si>
    <t>Đoàn ra, đoàn vào</t>
  </si>
  <si>
    <t>1.8</t>
  </si>
  <si>
    <t>Các hội nghề nghiệp, xã hội</t>
  </si>
  <si>
    <t>1.9</t>
  </si>
  <si>
    <t>Sự nghiệp xây dựng</t>
  </si>
  <si>
    <t>1.10</t>
  </si>
  <si>
    <t>1.11</t>
  </si>
  <si>
    <t xml:space="preserve"> Bổ sung tiền lương, BHTN, BHXH các SNKT, HNN</t>
  </si>
  <si>
    <t>1.12</t>
  </si>
  <si>
    <t>CS trợ giá, Hộ ngèo vùng KK(QĐ số 102/TTg), NV khác</t>
  </si>
  <si>
    <t>Bù lỗ phát hành ấn phẩm, nhiệm vụ khác</t>
  </si>
  <si>
    <t xml:space="preserve"> - Bù lỗ báo, báo ĐT + tiền nhuận bút, khác</t>
  </si>
  <si>
    <t xml:space="preserve"> - Bù lỗ tạp chí tư tưởng</t>
  </si>
  <si>
    <t xml:space="preserve"> - Ban tin Dân vận</t>
  </si>
  <si>
    <t xml:space="preserve"> - Dự kiến bố trí Trang Webste Tỉnh ủy (phân bổ sau)</t>
  </si>
  <si>
    <t xml:space="preserve"> - Tạp chí Ban Nội chính</t>
  </si>
  <si>
    <t xml:space="preserve"> - Giao ban Báo chí (Chuyển từ Sở TT Truyền thông sang)</t>
  </si>
  <si>
    <t xml:space="preserve"> - Các nhiệm vụ khác</t>
  </si>
  <si>
    <t>1.13</t>
  </si>
  <si>
    <t>1.14</t>
  </si>
  <si>
    <t>Chi trả phí vay BTC để thực hiện các DA</t>
  </si>
  <si>
    <t>1.15</t>
  </si>
  <si>
    <t>Hỗ trợ khuyến khích công tác thu ngân sách (các cơ quan thu)</t>
  </si>
  <si>
    <t>1.16</t>
  </si>
  <si>
    <t>1.17</t>
  </si>
  <si>
    <t xml:space="preserve">Sự nghiệp KT khác </t>
  </si>
  <si>
    <t>Chi sự nghiệp môi trường</t>
  </si>
  <si>
    <t xml:space="preserve"> -  Hỗ trợ thực hiện các Đề án (Ứng phó tràn dầu; Trám lấp giếng; Điều tra tồn lưu hóa chất thuốc BVTV)</t>
  </si>
  <si>
    <t xml:space="preserve"> - Phí môi trường nộp vào NS cấp lại, phí để lại chi</t>
  </si>
  <si>
    <t>Sự nghiệp giáo dục đào tạo</t>
  </si>
  <si>
    <t xml:space="preserve"> - Sự nghiệp giáo dục</t>
  </si>
  <si>
    <t xml:space="preserve">  + NS giao, Học bổng HSDT nội trú, trường THPT chuyên</t>
  </si>
  <si>
    <t xml:space="preserve"> + Chi từ nguồn phí, lệ phí, sự nghiệp, khác</t>
  </si>
  <si>
    <t xml:space="preserve"> + Bổ sung TL, PC; CĐ theo NĐ61, 116 CP</t>
  </si>
  <si>
    <t xml:space="preserve"> + Dự kiến tăng biên chế SN, hỗ trợ xử lý dôi dư</t>
  </si>
  <si>
    <t xml:space="preserve"> + Mua sắm, sửa chữa CSVC, trường lớp</t>
  </si>
  <si>
    <t xml:space="preserve"> + Phụ cấp thâm niên nghề GD, ĐT theo NĐ 54/CP</t>
  </si>
  <si>
    <t xml:space="preserve"> + Thu hồi tạm ứng </t>
  </si>
  <si>
    <t xml:space="preserve"> - Sự nghiệp đào tạo</t>
  </si>
  <si>
    <t xml:space="preserve"> + Tăng cường CSVC các cơ sở dạy nghề</t>
  </si>
  <si>
    <t xml:space="preserve"> + Đào tạo CA xã (PL CA xã)  </t>
  </si>
  <si>
    <t xml:space="preserve"> + Đào tạo hoàn thiện THCN QS xã (QĐ số 779/TTg)</t>
  </si>
  <si>
    <t xml:space="preserve"> + Đào tạo lý luận chính trị, chuyên đề theo KH của Tỉnh ủy</t>
  </si>
  <si>
    <t xml:space="preserve"> + Chi từ nguồn phí, lệ phí</t>
  </si>
  <si>
    <t xml:space="preserve"> + BSTL, BHXH, CĐ theo NĐ 116/NĐCP, CSCĐ khác</t>
  </si>
  <si>
    <t>Sự nghiệp y tế</t>
  </si>
  <si>
    <t xml:space="preserve"> - Chi từ nguồn phí, lệ phí thu để lại chi</t>
  </si>
  <si>
    <t xml:space="preserve"> - Phụ cấp độc hại, Chương trình HIV, VS an toàn thực phẩm</t>
  </si>
  <si>
    <t>Sự nghiệp văn hóa, thể thao, du lịch</t>
  </si>
  <si>
    <t xml:space="preserve"> - Ngân sách cấp (KP thường xuyên)</t>
  </si>
  <si>
    <t xml:space="preserve"> - Trợ cấp tai nạn, trợ cấp nghỉ thi đấu</t>
  </si>
  <si>
    <t xml:space="preserve">   + Hội Văn học nghệ thuật</t>
  </si>
  <si>
    <t xml:space="preserve">   + Hội nhà báo</t>
  </si>
  <si>
    <t xml:space="preserve"> - Chế độ DD HLV, VĐV thành tích cao, thi đấu, khác</t>
  </si>
  <si>
    <t xml:space="preserve"> - Bảo vệ di tích theo QĐ 26, BH Vận động viên</t>
  </si>
  <si>
    <t>Sự nghiệp phát thanh, truyền hình</t>
  </si>
  <si>
    <t xml:space="preserve"> - Bổ sung PTTH vùng lõm, trạm phát lại </t>
  </si>
  <si>
    <t xml:space="preserve"> - Bổ sung nhuận bút</t>
  </si>
  <si>
    <t xml:space="preserve"> - Phát sóng kênh truyền hình Hà Tĩnh lên vệ tinh</t>
  </si>
  <si>
    <t>Sự nghiệp công nghệ thông tin</t>
  </si>
  <si>
    <t>Sự nghiệp khoa học công nghệ</t>
  </si>
  <si>
    <t xml:space="preserve"> - Ngân sách cấp (trong đó Quỹ khoa học: 3 tỷ)</t>
  </si>
  <si>
    <t xml:space="preserve"> -  Chi từ nguồn thu phí, sự nghiệp  </t>
  </si>
  <si>
    <t>Sự nghiệp đảm bảo xã hội</t>
  </si>
  <si>
    <t xml:space="preserve"> - Giám định y khoa</t>
  </si>
  <si>
    <t xml:space="preserve"> - Sự nghiệp chăm sóc trẻ em và KHH GĐ </t>
  </si>
  <si>
    <t>Trong đó:  - CT CS Trẻ em có hoàn cảnh ĐB KK (Qũy BTTE)</t>
  </si>
  <si>
    <t xml:space="preserve">                  - SN chăm sóc trẻ em (Sở LĐ-TBXH)</t>
  </si>
  <si>
    <t xml:space="preserve"> - Chính sách cho gia đình chính sách, TB, LS</t>
  </si>
  <si>
    <t xml:space="preserve"> - Chính sách, chế độ đối với cán bộ thuộc diện TU quản lý</t>
  </si>
  <si>
    <t xml:space="preserve"> - Chính sách chế độ đảm bảo xã hội khác</t>
  </si>
  <si>
    <t xml:space="preserve">  Tr đó:  + Sàn GD việc làm</t>
  </si>
  <si>
    <t xml:space="preserve">             + Điều tra cung lao động</t>
  </si>
  <si>
    <t xml:space="preserve">             + Quỹ GQVL người tàn tật</t>
  </si>
  <si>
    <t xml:space="preserve">             + Hoạt động của Ban công tác người CT</t>
  </si>
  <si>
    <t xml:space="preserve">             + Hỗ trợ điều dưỡng</t>
  </si>
  <si>
    <t xml:space="preserve">             + Quỹ KTLĐ sáng tạo và CG người mù gặp nạn</t>
  </si>
  <si>
    <t xml:space="preserve">             + Các đối tượng nghiện Ma túy</t>
  </si>
  <si>
    <t xml:space="preserve"> - CĐCS, BHYT cận nghèo, CĐ gia đình CS ...</t>
  </si>
  <si>
    <t xml:space="preserve"> -  CĐCS và BHYT CCB, TNXP</t>
  </si>
  <si>
    <t xml:space="preserve"> - CS BHYT trẻ em, các đối tượng khác </t>
  </si>
  <si>
    <t>Chi quốc phòng, BP, biên giới</t>
  </si>
  <si>
    <t xml:space="preserve"> - Chi quân sự địa phương</t>
  </si>
  <si>
    <t xml:space="preserve"> + Huấn luyện CĐ, TT; diễn tập, Dự bị động viên... </t>
  </si>
  <si>
    <t xml:space="preserve"> + Hoạt động ban chỉ đạo ATLC</t>
  </si>
  <si>
    <t xml:space="preserve"> + Báo quân đội </t>
  </si>
  <si>
    <t xml:space="preserve"> + ĐTHL xã Đội trưởng </t>
  </si>
  <si>
    <t xml:space="preserve"> + Kinh phí sàng lọc HIV cho bộ đội nhập ngũ </t>
  </si>
  <si>
    <t xml:space="preserve"> + Chi hoạt động thường xuyên, CSVC nhà khách</t>
  </si>
  <si>
    <t xml:space="preserve"> + Các chính sách chế độ về Quân sự</t>
  </si>
  <si>
    <t xml:space="preserve"> + Hoạt động Hội đồng GDAN-QP</t>
  </si>
  <si>
    <t xml:space="preserve"> - Cho công tác biên phòng, biên giới</t>
  </si>
  <si>
    <t xml:space="preserve"> + Chi công tác biên giới </t>
  </si>
  <si>
    <t xml:space="preserve"> + Chi công tác biên phòng và các nhiệm vụ khác</t>
  </si>
  <si>
    <t xml:space="preserve">Chi an ninh </t>
  </si>
  <si>
    <t xml:space="preserve"> - Hệ thống mạng, thông tin thuộc Trung tâm nghiệp vụ LL an ninh (Theo VB số 4461/UBND-CNTT của UBND tỉnh)</t>
  </si>
  <si>
    <t xml:space="preserve"> - Các chính sách, nhiệm vụ đột xuất khác về ANTTĐP</t>
  </si>
  <si>
    <t>Chi quản lý hành chính</t>
  </si>
  <si>
    <t xml:space="preserve"> - Quản lý nhà nước</t>
  </si>
  <si>
    <t xml:space="preserve"> - Hoạt động HĐND tỉnh</t>
  </si>
  <si>
    <t xml:space="preserve"> - Dự kiến nhiệm vụ đột xuất của cấp ủy</t>
  </si>
  <si>
    <t xml:space="preserve"> - Tổ chức chính trị xã hội</t>
  </si>
  <si>
    <t xml:space="preserve"> - Sự nghiệp khác </t>
  </si>
  <si>
    <t xml:space="preserve"> - Đối ứng các dự án HCSN</t>
  </si>
  <si>
    <t xml:space="preserve"> - Tuyên truyền giáo dục pháp luật; Kinh phí mua hộ tịch, hộ khẩu; Xây dựng văn bản PL, Hỗ trợ PL cho DN  </t>
  </si>
  <si>
    <t xml:space="preserve"> - Trung tâm xúc tiến đầu tư </t>
  </si>
  <si>
    <t xml:space="preserve"> + TT thuộc Sở Kế hoạch và Đầu tư</t>
  </si>
  <si>
    <t xml:space="preserve"> + TT thuộc Khu kinh tế Vũng áng</t>
  </si>
  <si>
    <t xml:space="preserve"> - Quản lý giá tài sản công</t>
  </si>
  <si>
    <t xml:space="preserve"> - Công tác địa giới hành chính (Sở Nội vụ)</t>
  </si>
  <si>
    <t xml:space="preserve"> - Hỗ hoạt động các Ban kiêm nhiệm</t>
  </si>
  <si>
    <t xml:space="preserve"> - Quỹ thi đua khen thưởng tỉnh</t>
  </si>
  <si>
    <t xml:space="preserve"> - Thực hiện QĐ 3115/VPTW (cả khối trực thuộc)</t>
  </si>
  <si>
    <t xml:space="preserve"> - Chi từ nguồn phí, lệ phí HCSN để lại chi</t>
  </si>
  <si>
    <t xml:space="preserve"> - Bồi dưỡng kiến thức QLHCNN cho CC cấp xã</t>
  </si>
  <si>
    <t xml:space="preserve"> - Hỗ trợ các nhiệm vụ thanh tra, kiểm tra</t>
  </si>
  <si>
    <t xml:space="preserve"> - Phụ cấp công vụ, Đoàn thể theo NĐ 34, HD số 05/TW</t>
  </si>
  <si>
    <t xml:space="preserve"> - DK Kinh phí thực hiện đối với các TCCS Đảng (NSTW)</t>
  </si>
  <si>
    <t>Chi ĐH, kỷ niệm ngày lễ lớn, kỷ niệm ngành</t>
  </si>
  <si>
    <t>Chi từ kết quả thu được để lại theo chế độ, XP ATGT</t>
  </si>
  <si>
    <t>Hỗ trợ các cơ quan pháp luật (Viện, Tòa, TH án…..)</t>
  </si>
  <si>
    <t>Chính sách tôn giáo</t>
  </si>
  <si>
    <t>DK chính sách mới do tỉnh ban hành</t>
  </si>
  <si>
    <t>Chi khác ngân sách</t>
  </si>
  <si>
    <t>DK thực hiện pháp lệnh CA xã (TP và CĐCS)</t>
  </si>
  <si>
    <t xml:space="preserve"> Trong đó  - NV CQ quân sự các cấp (BCHQS tỉnh)</t>
  </si>
  <si>
    <t xml:space="preserve">                 - Các cấp NS huyện xã (PC, TC, NC…)</t>
  </si>
  <si>
    <t xml:space="preserve">                 - Các nhiệm vụ, CĐCS khác về DQTV</t>
  </si>
  <si>
    <t>Hỗ trợ bảo vệ và phát triển đất lúa (NSTW)</t>
  </si>
  <si>
    <t>III</t>
  </si>
  <si>
    <t>CÁC ĐỀ ÁN, CS, NV PHÁT TRIỂN KT-XH CỦA TỈNH</t>
  </si>
  <si>
    <t>Lĩnh vực kinh tế</t>
  </si>
  <si>
    <t xml:space="preserve"> - CS Xuất khẩu</t>
  </si>
  <si>
    <t xml:space="preserve"> - Bổ sung vốn cho NH Chính sách </t>
  </si>
  <si>
    <t xml:space="preserve"> - CS Hỗ trợ DN theo QĐ 07/QĐ-UBND</t>
  </si>
  <si>
    <t xml:space="preserve"> - Quỹ bảo lãnh DN vừa và nhỏ</t>
  </si>
  <si>
    <t xml:space="preserve"> - CS BT, GPMB các dự án</t>
  </si>
  <si>
    <t xml:space="preserve"> - CS TH Đề án PT Cụm CN</t>
  </si>
  <si>
    <t xml:space="preserve"> - Bổ sung quỹ ĐTPT địa phương</t>
  </si>
  <si>
    <t xml:space="preserve"> - Chương trình XD nông thôn mới </t>
  </si>
  <si>
    <t xml:space="preserve"> - Hỗ trợ kiến thiết thị chính ngoài định mức</t>
  </si>
  <si>
    <t xml:space="preserve"> + Thành Phố Hà Tĩnh</t>
  </si>
  <si>
    <t xml:space="preserve"> + Thị xã Hồng Lĩnh</t>
  </si>
  <si>
    <t xml:space="preserve"> + Các nhiệm vụ KTTC khác</t>
  </si>
  <si>
    <t xml:space="preserve"> - ĐA bảo quản chế biến sản phẩm chủ yếu</t>
  </si>
  <si>
    <t xml:space="preserve"> - Đề án QLBV và PT rừng</t>
  </si>
  <si>
    <t xml:space="preserve"> - Hỗ trợ PC dịch bệnh nguy hiểm trong chăn nuôi</t>
  </si>
  <si>
    <t xml:space="preserve"> - CS thực hiện Đề án Phát triển Thương mại Nông thôn</t>
  </si>
  <si>
    <t xml:space="preserve"> - Chính sách hỗ trợ sản xuất lợn nái 100% máu ngoại</t>
  </si>
  <si>
    <t xml:space="preserve"> - Chính sách thủy sản (Nuôi cá)</t>
  </si>
  <si>
    <t xml:space="preserve"> - Chính sách Bò nhập ngoại </t>
  </si>
  <si>
    <t xml:space="preserve"> - Đề án giao đất, giao rừng</t>
  </si>
  <si>
    <t>Lĩnh vực môi trường</t>
  </si>
  <si>
    <t xml:space="preserve"> - Đối ứng DA rác thải BV, Xử lý tồn dư Thuốc BVTV, khác</t>
  </si>
  <si>
    <t xml:space="preserve"> - Bổ sung sự nghiệp môi trường đô thị ngoài định mức</t>
  </si>
  <si>
    <t>Lĩnh vực giáo dục và đào tạo</t>
  </si>
  <si>
    <t xml:space="preserve"> - Chính sách Phát triển Đại học HT</t>
  </si>
  <si>
    <t xml:space="preserve"> - CS hỗ trợ Trường CĐ Y chuyển địa điểm mới </t>
  </si>
  <si>
    <t xml:space="preserve"> - Đề án phát triển giáo dục đến năm 2015 (Bao gồm tăng cường CSVC)</t>
  </si>
  <si>
    <t xml:space="preserve"> - Hỗ trợ XD một số trường học mới sát nhập (ưu tiên xử lý cấp bách cho các trường có cơ sở vật chất quá yếu)</t>
  </si>
  <si>
    <t xml:space="preserve"> - Đề án dạy ngoại ngữ</t>
  </si>
  <si>
    <t xml:space="preserve"> - Ký túc xá Trường Năng khiếu tỉnh</t>
  </si>
  <si>
    <t>Lĩnh vực y tế</t>
  </si>
  <si>
    <t xml:space="preserve"> - Quỹ khám chữa bệnh cho người nghèo</t>
  </si>
  <si>
    <t xml:space="preserve"> </t>
  </si>
  <si>
    <t xml:space="preserve"> - Đề án phòng chống HIV</t>
  </si>
  <si>
    <t xml:space="preserve"> - Đề án về Công tác Dân số KHHGĐ</t>
  </si>
  <si>
    <t>Lĩnh vực phát thanh truyền hình, CNTT</t>
  </si>
  <si>
    <t xml:space="preserve"> - Phát sóng trên vệ tinh theo chủ trương của tỉnh</t>
  </si>
  <si>
    <t xml:space="preserve"> - Đề án hỗ trợ Đài PT không dây cho 1 số xã KK, vùng sâu</t>
  </si>
  <si>
    <t xml:space="preserve"> - Đề án CNTT khối Đảng</t>
  </si>
  <si>
    <t>Lĩnh vực văn hóa, thể dục, thể thao</t>
  </si>
  <si>
    <t xml:space="preserve"> - Bổ sung kinh phí  ngoài định mức cho TP Hà Tĩnh</t>
  </si>
  <si>
    <t xml:space="preserve"> - Tu bổ di tích Văn hóa cấp tỉnh</t>
  </si>
  <si>
    <t xml:space="preserve"> - Tăng cường CSVC, TCVH cơ sở theo NQ HĐND</t>
  </si>
  <si>
    <t xml:space="preserve"> - Đề án Phát triển Du lịch</t>
  </si>
  <si>
    <t xml:space="preserve"> - Bảo tồn, phát huy Ví, Giặm Nghệ Tĩnh và đón nhận bằng công nhận Dân ca Ví, Dặm (Trong đó bảo tồn 2 tỷ)</t>
  </si>
  <si>
    <t>Chính sách khác</t>
  </si>
  <si>
    <t xml:space="preserve"> - Hợp tác đầu tư công tư (PPP)</t>
  </si>
  <si>
    <t xml:space="preserve"> - Bổ sung vốn đối ứng ODA gồm cả HCSN</t>
  </si>
  <si>
    <t xml:space="preserve"> - Phát triển KTXH các xã ảnh hưởng Khai thác Mỏ sắt</t>
  </si>
  <si>
    <t xml:space="preserve"> - Hỗ trợ CSHT các khu SX tập trung </t>
  </si>
  <si>
    <t xml:space="preserve">Trả nợ vay </t>
  </si>
  <si>
    <t>IV</t>
  </si>
  <si>
    <t>CHI MỘT SỐ NHIỆM VỤ BTC HỖ TRỢ</t>
  </si>
  <si>
    <t>V</t>
  </si>
  <si>
    <t>DỰ PHÒNG NGÂN SÁCH</t>
  </si>
  <si>
    <t>VI</t>
  </si>
  <si>
    <t>CHI BỔ SUNG QUỸ DỰ TRỮ TÀI CHÍNH</t>
  </si>
  <si>
    <t>VII</t>
  </si>
  <si>
    <t>VIII</t>
  </si>
  <si>
    <t>IX</t>
  </si>
  <si>
    <t>KINH PHÍ THỰC HIỆN QĐ 168,186; VÙNG CÓ ĐK KT-XH KHÓ KHĂN</t>
  </si>
  <si>
    <t>X</t>
  </si>
  <si>
    <t xml:space="preserve">HỖ TRỢ CÁC ĐP (ẢNH HƯỞNG XD CÁC DỰ ÁN TRỌNG ĐIỂM) </t>
  </si>
  <si>
    <t>XI</t>
  </si>
  <si>
    <t>TĂNG BIÊN CHẾ HCSN THEO CÁC QĐ UBND TỈNH, KHÁC</t>
  </si>
  <si>
    <t>XII</t>
  </si>
  <si>
    <t>KINH PHÍ CHUẨN BỊ ĐỘNG VIÊN (NSTW)</t>
  </si>
  <si>
    <t>XIII</t>
  </si>
  <si>
    <t>TH CÁC CS, ĐA, NV KHÁC DO HUYỆN XÃ LÝ</t>
  </si>
  <si>
    <t>XIV</t>
  </si>
  <si>
    <t>XV</t>
  </si>
  <si>
    <t>XVI</t>
  </si>
  <si>
    <t>THỰC HIỆN CÁC NV ĐỘT XUẤT KHỐI HX</t>
  </si>
  <si>
    <t>XVII</t>
  </si>
  <si>
    <t>CHÍNH SÁCH BÌNH ỔN GIÁ</t>
  </si>
  <si>
    <t>CHI CÁC CTMTQG</t>
  </si>
  <si>
    <t>Phụ lục số 05</t>
  </si>
  <si>
    <t>Đơn vị</t>
  </si>
  <si>
    <t>Tổng cộng</t>
  </si>
  <si>
    <t>Quốc doanh</t>
  </si>
  <si>
    <t>Đầu tư nước ngoài</t>
  </si>
  <si>
    <t>Ngoài QD</t>
  </si>
  <si>
    <t>Thu nhập cá nhân</t>
  </si>
  <si>
    <t>Trước bạ</t>
  </si>
  <si>
    <t>Phí</t>
  </si>
  <si>
    <t>Phi nông nghiệp</t>
  </si>
  <si>
    <t>Thuê đất</t>
  </si>
  <si>
    <t>Cấp quyền khai thác khoáng sản</t>
  </si>
  <si>
    <t>Tiền sử dụng đất</t>
  </si>
  <si>
    <t>Thu tại xã</t>
  </si>
  <si>
    <t>Thu khác ngân sách</t>
  </si>
  <si>
    <t>Huyện Kỳ Anh</t>
  </si>
  <si>
    <t>Huyện Cẩm Xuyên</t>
  </si>
  <si>
    <t>TP Hà Tĩnh</t>
  </si>
  <si>
    <t>Huyện Thạch Hà</t>
  </si>
  <si>
    <t>Huyện Can Lộc</t>
  </si>
  <si>
    <t>Huyện Đức Thọ</t>
  </si>
  <si>
    <t>Huyện Nghi Xuân</t>
  </si>
  <si>
    <t>Huyện Hương Sơn</t>
  </si>
  <si>
    <t>Huyện Hương Khê</t>
  </si>
  <si>
    <t>TX Hồng Lĩnh</t>
  </si>
  <si>
    <t>Huyện Vũ Quang</t>
  </si>
  <si>
    <t>Huyện Lộc Hà</t>
  </si>
  <si>
    <t>Kiểm tra</t>
  </si>
  <si>
    <t xml:space="preserve"> - Chi tiết điều tiết</t>
  </si>
  <si>
    <t>Chênh lệch</t>
  </si>
  <si>
    <t>Phụ lục số 06</t>
  </si>
  <si>
    <t>Thu NSNN trên địa bàn</t>
  </si>
  <si>
    <t>Thu ngân sách huyện, xã hưởng</t>
  </si>
  <si>
    <t>Thu bổ sung từ ngân sách cấp tỉnh</t>
  </si>
  <si>
    <t>Tổng thu ngân sách huyện</t>
  </si>
  <si>
    <t>Cộng</t>
  </si>
  <si>
    <t>NS cấp huyện</t>
  </si>
  <si>
    <t>NS cấp xã</t>
  </si>
  <si>
    <t xml:space="preserve"> - Chi tiết</t>
  </si>
  <si>
    <t>Phụ lục số 03</t>
  </si>
  <si>
    <t>Tổng chi ngân sách huyện</t>
  </si>
  <si>
    <t>1. Chi ngân sách cấp huyện</t>
  </si>
  <si>
    <t>2. Chi ngân sách cấp xã</t>
  </si>
  <si>
    <t>Chi đầu tư phát triển</t>
  </si>
  <si>
    <t>Chi thường xuyên</t>
  </si>
  <si>
    <t>Dự phòng</t>
  </si>
  <si>
    <t>TÊN ĐƠN VỊ</t>
  </si>
  <si>
    <t>Quỹ lương, phụ cấp và các khoản đóng góp theo lương, nghiệp vụ đặc thù</t>
  </si>
  <si>
    <t>ĐM chi khác</t>
  </si>
  <si>
    <t>Bổ sung từ 30 biên chế trở xuống</t>
  </si>
  <si>
    <t>Tổng ngân sách Nhà nước cấp</t>
  </si>
  <si>
    <t xml:space="preserve">Giao thu phí, lệ phí </t>
  </si>
  <si>
    <t>B</t>
  </si>
  <si>
    <t xml:space="preserve"> TỔNG CỘNG  </t>
  </si>
  <si>
    <t xml:space="preserve">Tổng số QLNN (A+B) </t>
  </si>
  <si>
    <t xml:space="preserve">Khối quản lý NN cấp I </t>
  </si>
  <si>
    <t xml:space="preserve">Sở Giáo dục Đào tạo </t>
  </si>
  <si>
    <t xml:space="preserve">Sở Xây dựng </t>
  </si>
  <si>
    <t xml:space="preserve">Sở Y tế </t>
  </si>
  <si>
    <t xml:space="preserve">Văn phòng ĐĐBQH và HĐND </t>
  </si>
  <si>
    <t xml:space="preserve">Trong đó hỗ trợ Đoàn ĐBQH </t>
  </si>
  <si>
    <t xml:space="preserve">Thanh tra tỉnh </t>
  </si>
  <si>
    <t xml:space="preserve">Kinh phí thường xuyên </t>
  </si>
  <si>
    <t xml:space="preserve">KP thu hồi được để lại giao trong dự toán (TT90) </t>
  </si>
  <si>
    <t xml:space="preserve">Sở Kế hoạch và Đầu tư </t>
  </si>
  <si>
    <t xml:space="preserve">Sở Tài chính </t>
  </si>
  <si>
    <t xml:space="preserve">Sở Nông nghiệp và PTNT </t>
  </si>
  <si>
    <t xml:space="preserve">Sở Tư pháp </t>
  </si>
  <si>
    <t xml:space="preserve">Sở Lao động TB&amp;XH </t>
  </si>
  <si>
    <t xml:space="preserve">Sở Công thương   </t>
  </si>
  <si>
    <t xml:space="preserve">Sở Văn hoá, Thể thao và Du lịch </t>
  </si>
  <si>
    <t xml:space="preserve">Sở Tài nguyên-Môi trường </t>
  </si>
  <si>
    <t xml:space="preserve">Sở Giao thông vận tải  </t>
  </si>
  <si>
    <t xml:space="preserve">Sở Khoa học công nghệ </t>
  </si>
  <si>
    <t xml:space="preserve">Sở Nội vụ  </t>
  </si>
  <si>
    <t xml:space="preserve">Văn phòng UBND tỉnh </t>
  </si>
  <si>
    <t xml:space="preserve">Sở Ngoại vụ </t>
  </si>
  <si>
    <t xml:space="preserve">Trong đó:  KP đoàn ra, đoàn vào </t>
  </si>
  <si>
    <t>Ban Quản lý khu kinh tế</t>
  </si>
  <si>
    <t xml:space="preserve">Sở Thông tin và Truyền Thông </t>
  </si>
  <si>
    <t>Văn phòng điều phối NTM</t>
  </si>
  <si>
    <t>Văn phòng Ban ATGT</t>
  </si>
  <si>
    <t>KP Bồi thường và chi trả bồi thường theo TT 71</t>
  </si>
  <si>
    <t xml:space="preserve">Đột xuất, tăng biên chế, nâng lương </t>
  </si>
  <si>
    <t xml:space="preserve">Đơn vị QLNN cấp II </t>
  </si>
  <si>
    <t xml:space="preserve">Ban thi đua khen thưởng </t>
  </si>
  <si>
    <t xml:space="preserve">Trong đó KP thi đua KT tỉnh </t>
  </si>
  <si>
    <t xml:space="preserve">Ban tôn giáo dân tộc </t>
  </si>
  <si>
    <t xml:space="preserve">Chi cục dân số - KHHGĐ </t>
  </si>
  <si>
    <t xml:space="preserve">Chi cục vệ sinh ATTP </t>
  </si>
  <si>
    <t xml:space="preserve">Chi cục phát triển nông thôn </t>
  </si>
  <si>
    <t xml:space="preserve">Chi cục KL + 11 Hạt KL các huyện + đội CĐ </t>
  </si>
  <si>
    <t xml:space="preserve">Chi cục bảo vệ môi trường </t>
  </si>
  <si>
    <t xml:space="preserve">Chi cục BVTV </t>
  </si>
  <si>
    <t xml:space="preserve">Chi cục Thú y </t>
  </si>
  <si>
    <t xml:space="preserve">Chi cục Lâm nghiệp </t>
  </si>
  <si>
    <t xml:space="preserve">Chi cục Quản lý đê điều </t>
  </si>
  <si>
    <t xml:space="preserve">Chi cục thuỷ lợi  </t>
  </si>
  <si>
    <t xml:space="preserve">Chi Cục Quản lý thị trường </t>
  </si>
  <si>
    <t xml:space="preserve">Chi cục khai thác và bảo vệ nguồn lợi thuỷ sản </t>
  </si>
  <si>
    <t xml:space="preserve">Chi cục nuôi trồng thuỷ sản </t>
  </si>
  <si>
    <t>Chi cục văn thư lưu trữ</t>
  </si>
  <si>
    <t xml:space="preserve">Chi cục tiêu chuẩn đo lường CL </t>
  </si>
  <si>
    <t xml:space="preserve">Thanh tra giao thông </t>
  </si>
  <si>
    <t xml:space="preserve">Thanh tra xây dựng </t>
  </si>
  <si>
    <t>Chi cục biển và hải đảo</t>
  </si>
  <si>
    <t xml:space="preserve">Cải cách HC IZO, chỉnh lý tài liệu: </t>
  </si>
  <si>
    <t xml:space="preserve">  - Cải cách HC IZO </t>
  </si>
  <si>
    <t xml:space="preserve">  - Chỉnh lý tài liệu </t>
  </si>
  <si>
    <t xml:space="preserve">Đột xuất, tăng biên chế, trang phục, MS, SC </t>
  </si>
  <si>
    <t xml:space="preserve">Quản lý hành chính Cửa khẩu Cầu Treo </t>
  </si>
  <si>
    <t xml:space="preserve">Sự nghiệp khác </t>
  </si>
  <si>
    <t xml:space="preserve">Phòng Công chứng số I </t>
  </si>
  <si>
    <t xml:space="preserve">Phòng Công chứng số II </t>
  </si>
  <si>
    <t xml:space="preserve">Trung tâm xúc tiến đầu tư (Sở KHĐT) </t>
  </si>
  <si>
    <t xml:space="preserve">Trung tâm DV bán đấu giá tài sản </t>
  </si>
  <si>
    <t xml:space="preserve">Quỹ bảo trợ Trẻ em </t>
  </si>
  <si>
    <t xml:space="preserve">Trung tâm Dịch vụ Tài chính công </t>
  </si>
  <si>
    <t xml:space="preserve">Trung tâm Dịch vụ hạ tầng Khu KT tỉnh </t>
  </si>
  <si>
    <t xml:space="preserve">Trung tâm Cấp nước Khu kinh tế </t>
  </si>
  <si>
    <t xml:space="preserve">Trung tâm Xúc tiến đầu tư và cung ứng nhân lực KKT </t>
  </si>
  <si>
    <t xml:space="preserve">Trung tâm hoạt động thanh thiếu nhi </t>
  </si>
  <si>
    <t xml:space="preserve">Tổng đội TNXPXDKT mới Tây sơn </t>
  </si>
  <si>
    <t xml:space="preserve">Trung tâm nước sinh hoạt </t>
  </si>
  <si>
    <t xml:space="preserve">Trung tâm DN và hỗ trợ việc làm Hội nông dân </t>
  </si>
  <si>
    <t xml:space="preserve">Tổng đội TNXP XDKT Phúc Trạch </t>
  </si>
  <si>
    <t xml:space="preserve">Trung tâm công báo tin học </t>
  </si>
  <si>
    <t xml:space="preserve">Trung tâm dịch thuật dịch vụ đối ngoại </t>
  </si>
  <si>
    <t xml:space="preserve">Ban VSTB phụ nữ  </t>
  </si>
  <si>
    <t xml:space="preserve">Trung tâm trợ giúp pháp lý </t>
  </si>
  <si>
    <t xml:space="preserve">Trợ giúp pháp lý cho người nghèo và ĐT CS </t>
  </si>
  <si>
    <t xml:space="preserve">Trung tâm Hướng nghiệp Thuỷ sản TNXP </t>
  </si>
  <si>
    <t xml:space="preserve">UBĐK Công giáo </t>
  </si>
  <si>
    <t xml:space="preserve">Đoàn luật sư </t>
  </si>
  <si>
    <t xml:space="preserve">Hỗ trợ TH cải cách TP theo NQ49/BCT </t>
  </si>
  <si>
    <t xml:space="preserve">BVĐ ngày vì người nghèo </t>
  </si>
  <si>
    <t xml:space="preserve">Ban đổi mới DN </t>
  </si>
  <si>
    <t xml:space="preserve">Ban chỉ đạo CCHC </t>
  </si>
  <si>
    <t xml:space="preserve">Hỗ trợ công tác giám định tài chính </t>
  </si>
  <si>
    <t xml:space="preserve">Ban chỉ đạo XĐGN và ATLĐ </t>
  </si>
  <si>
    <t xml:space="preserve">Trung tâm Thông tin (Thuộc ĐĐBQH) </t>
  </si>
  <si>
    <t xml:space="preserve">BQLDA đền bù tái định cư Ngàn trươi CT </t>
  </si>
  <si>
    <t>Ban quản lý khu vực mỏ sắt Thạch Khê</t>
  </si>
  <si>
    <t xml:space="preserve">Văn phòng đại diện sông cả </t>
  </si>
  <si>
    <t>Chi cục Văn thư lưu trữ (Phần SN)</t>
  </si>
  <si>
    <t xml:space="preserve">BQL Khu tưởng niệm Lý Tự Trọng </t>
  </si>
  <si>
    <t xml:space="preserve">Đột xuất, tăng biên chế, nâng lương, đại hội nhiệm kỳ các đơn vị </t>
  </si>
  <si>
    <t xml:space="preserve">Các tổ chức chính trị </t>
  </si>
  <si>
    <t xml:space="preserve">Tỉnh đoàn </t>
  </si>
  <si>
    <t xml:space="preserve">Hội Liên hiệp Phụ nữ </t>
  </si>
  <si>
    <t xml:space="preserve">Hội Nông dân </t>
  </si>
  <si>
    <t xml:space="preserve">Hội Cựu Chiến binh </t>
  </si>
  <si>
    <t>Mặt trận tỉnh + HĐ các Ban của MT</t>
  </si>
  <si>
    <t xml:space="preserve">Hội nghề nghiệp </t>
  </si>
  <si>
    <t xml:space="preserve">Liên minh HTX </t>
  </si>
  <si>
    <t xml:space="preserve">Hội khuyến học </t>
  </si>
  <si>
    <t xml:space="preserve">Hội Nhà báo </t>
  </si>
  <si>
    <t xml:space="preserve">Hội Luật gia </t>
  </si>
  <si>
    <t xml:space="preserve">Hội Làm vườn </t>
  </si>
  <si>
    <t xml:space="preserve">Hội Kiến trúc sư </t>
  </si>
  <si>
    <t xml:space="preserve">Hội Cựu TN xung phong </t>
  </si>
  <si>
    <t xml:space="preserve">Hội NN chất độc da cam-Dioxin </t>
  </si>
  <si>
    <t xml:space="preserve">Hội Kế hoạch hóa gia đình </t>
  </si>
  <si>
    <t xml:space="preserve">Hội Liên hiệp thanh niên </t>
  </si>
  <si>
    <t xml:space="preserve">Hội Châm cứu </t>
  </si>
  <si>
    <t xml:space="preserve">Hội Sinh vật cảnh </t>
  </si>
  <si>
    <t xml:space="preserve">Hội Liên hiệp văn học nghệ thuật </t>
  </si>
  <si>
    <t xml:space="preserve">Hội Đông y </t>
  </si>
  <si>
    <t xml:space="preserve">Hội cựu giáo chức </t>
  </si>
  <si>
    <t xml:space="preserve">Ban Đại diện Hội người cao tuổi </t>
  </si>
  <si>
    <t xml:space="preserve">Liên hiệp các Tổ chức hữu nghị </t>
  </si>
  <si>
    <t xml:space="preserve">Hội người mù </t>
  </si>
  <si>
    <t xml:space="preserve">Hội Chữ thập đỏ </t>
  </si>
  <si>
    <t>Hội bảo vệ quyền lợi người tiêu dùng</t>
  </si>
  <si>
    <t xml:space="preserve">Giải thưởng báo chí Trần Phú và HBX </t>
  </si>
  <si>
    <t>Triển lãm mỹ thuật, liên hoan ảnh, âm nhạc, tổng kết.....</t>
  </si>
  <si>
    <t xml:space="preserve">Hỗ trợ tạp chí Hồng Lĩnh </t>
  </si>
  <si>
    <t xml:space="preserve">Hỗ trợ tạp chí Hà Tĩnh người làm báo </t>
  </si>
  <si>
    <t xml:space="preserve">Đột xuất, MS, SC, tăng biên chế </t>
  </si>
  <si>
    <t xml:space="preserve">Sự nghiệp xã hội </t>
  </si>
  <si>
    <t xml:space="preserve">Trung tâm bảo trợ xã hội </t>
  </si>
  <si>
    <t xml:space="preserve">Làng trẻ em mồ côi </t>
  </si>
  <si>
    <t xml:space="preserve">Trung tâm DN và GTVL người tàn tật </t>
  </si>
  <si>
    <t xml:space="preserve">Trung tâm GD Lao động XH </t>
  </si>
  <si>
    <t>Trung tâm Dịch vụ việc làm</t>
  </si>
  <si>
    <t xml:space="preserve">SN dân số KHHGĐ </t>
  </si>
  <si>
    <t xml:space="preserve">Trong đó: CS TE có H/C KK (Quỹ BTTE) </t>
  </si>
  <si>
    <t xml:space="preserve">Các Ban kiêm nhiệm </t>
  </si>
  <si>
    <t xml:space="preserve">Ban chỉ đạo xuất khẩu </t>
  </si>
  <si>
    <t xml:space="preserve">Ban công tác phi Chính phủ </t>
  </si>
  <si>
    <t xml:space="preserve">Ban chỉ đạo công nghệ thông tin </t>
  </si>
  <si>
    <t xml:space="preserve">Ban đổi mới và phát triển kinh tế tập thể </t>
  </si>
  <si>
    <t xml:space="preserve">Ban chỉ đạo thực hiện NQ 162 </t>
  </si>
  <si>
    <t xml:space="preserve">Ban chỉ đạo CTMTQG </t>
  </si>
  <si>
    <t xml:space="preserve">Ban chỉ đạo thực hiện NQ 08 </t>
  </si>
  <si>
    <t>Ban phổ biến GDPL</t>
  </si>
  <si>
    <t>HĐ phối hợp liên ngành TGPL trong HĐ tố tụng</t>
  </si>
  <si>
    <t>Ban công tác Hội người cao tuổi</t>
  </si>
  <si>
    <t>BCĐ thực hiện DA đổi mới giám định tư pháp</t>
  </si>
  <si>
    <t>Ban Chỉ đạo 513</t>
  </si>
  <si>
    <t>Ban Chỉ đạo Chương trình PT thanh niên</t>
  </si>
  <si>
    <t>Ban chỉ đạo hội nhập quốc tế</t>
  </si>
  <si>
    <t>Phụ lục số 04</t>
  </si>
  <si>
    <t xml:space="preserve">                                            </t>
  </si>
  <si>
    <t>Biên chế</t>
  </si>
  <si>
    <t>Quỹ lương, phụ cấp và các khoản đóng góp theo lương, nghiệp vụ</t>
  </si>
  <si>
    <t>Kinh phí đào tạo</t>
  </si>
  <si>
    <t>Kinh phí NSNN cấp</t>
  </si>
  <si>
    <t>Thu sự nghiệp</t>
  </si>
  <si>
    <t>KH</t>
  </si>
  <si>
    <t>Thực tế</t>
  </si>
  <si>
    <t>6</t>
  </si>
  <si>
    <t xml:space="preserve">Trường Chính trị Trần Phú </t>
  </si>
  <si>
    <t xml:space="preserve">Trường Đại học Hà Tĩnh </t>
  </si>
  <si>
    <t xml:space="preserve">* Chi thường xuyên </t>
  </si>
  <si>
    <t xml:space="preserve">* Đào tạo sinh viên Lào </t>
  </si>
  <si>
    <t xml:space="preserve"> - NS cấp </t>
  </si>
  <si>
    <t xml:space="preserve"> - Nguồn cải cách tiền lương đảm bảo </t>
  </si>
  <si>
    <t xml:space="preserve">Trường Cao đẳng Y tế </t>
  </si>
  <si>
    <t xml:space="preserve">Trường Cao đẳng nghề Việt Đức </t>
  </si>
  <si>
    <t xml:space="preserve">Trường Cao đẳng Văn hoá, TT và DL </t>
  </si>
  <si>
    <t xml:space="preserve">Trường Kỷ nghệ </t>
  </si>
  <si>
    <t xml:space="preserve">Trường Trung cấp nghề Hà Tĩnh </t>
  </si>
  <si>
    <t xml:space="preserve">Trường Dạy nghề Lý Tự Trọng </t>
  </si>
  <si>
    <t xml:space="preserve">Trường CĐ nghề công nghệ HT </t>
  </si>
  <si>
    <t xml:space="preserve">Trung tâm Dạy nghề, GQVL người TT </t>
  </si>
  <si>
    <t xml:space="preserve">Sở Công Thương </t>
  </si>
  <si>
    <t xml:space="preserve"> - Trường CĐ luyện kim Hồng Lĩnh </t>
  </si>
  <si>
    <t xml:space="preserve"> - Bồi dưỡng, tập huấn </t>
  </si>
  <si>
    <t>13</t>
  </si>
  <si>
    <t xml:space="preserve">Sở Lao động - Thương binh và xã hội </t>
  </si>
  <si>
    <t>14</t>
  </si>
  <si>
    <t xml:space="preserve">Trung tâm Huấn luyện ĐT thể thao </t>
  </si>
  <si>
    <t>15</t>
  </si>
  <si>
    <t>16</t>
  </si>
  <si>
    <t>17</t>
  </si>
  <si>
    <t xml:space="preserve">Chi cục QLTT </t>
  </si>
  <si>
    <t>18</t>
  </si>
  <si>
    <t>19</t>
  </si>
  <si>
    <t>20</t>
  </si>
  <si>
    <t xml:space="preserve">Hội LHPN tỉnh </t>
  </si>
  <si>
    <t>21</t>
  </si>
  <si>
    <t xml:space="preserve">Mặt trận tỉnh </t>
  </si>
  <si>
    <t>22</t>
  </si>
  <si>
    <t xml:space="preserve">Tỉnh đoàn  </t>
  </si>
  <si>
    <t>23</t>
  </si>
  <si>
    <t xml:space="preserve">Sở Nội vụ </t>
  </si>
  <si>
    <t>24</t>
  </si>
  <si>
    <t>25</t>
  </si>
  <si>
    <t>26</t>
  </si>
  <si>
    <t xml:space="preserve">Sở Tư pháp (ĐT nghiệp vụ tư pháp toàn tỉnh) </t>
  </si>
  <si>
    <t>27</t>
  </si>
  <si>
    <t>28</t>
  </si>
  <si>
    <t>29</t>
  </si>
  <si>
    <t>30</t>
  </si>
  <si>
    <t xml:space="preserve">Sở Thông tin và TT ( Đào tạo CNTT cho các xã NTM) </t>
  </si>
  <si>
    <t xml:space="preserve"> - Đào tạo CNTT cho cấp xã </t>
  </si>
  <si>
    <t>31</t>
  </si>
  <si>
    <t xml:space="preserve">Sở Văn hóa, Thể thao và Du lịch </t>
  </si>
  <si>
    <t>32</t>
  </si>
  <si>
    <t>33</t>
  </si>
  <si>
    <t xml:space="preserve">Sở Tài nguyên và Môi trường </t>
  </si>
  <si>
    <t>34</t>
  </si>
  <si>
    <t xml:space="preserve">Ban quản lý Khu kinh tế </t>
  </si>
  <si>
    <t>35</t>
  </si>
  <si>
    <t>36</t>
  </si>
  <si>
    <t>37</t>
  </si>
  <si>
    <t xml:space="preserve">Đài Phát thanh - Truyền hình </t>
  </si>
  <si>
    <t>38</t>
  </si>
  <si>
    <t xml:space="preserve">Liên minh Hợp tác xã </t>
  </si>
  <si>
    <t>39</t>
  </si>
  <si>
    <t xml:space="preserve">Hội Liên hiệp Văn học nghệ thuật </t>
  </si>
  <si>
    <t>40</t>
  </si>
  <si>
    <t>41</t>
  </si>
  <si>
    <t xml:space="preserve">Hội Người mù </t>
  </si>
  <si>
    <t>42</t>
  </si>
  <si>
    <t>43</t>
  </si>
  <si>
    <t>44</t>
  </si>
  <si>
    <t xml:space="preserve">Trường quân sự tỉnh </t>
  </si>
  <si>
    <t>45</t>
  </si>
  <si>
    <t xml:space="preserve">Đảng ủy khối dân chính Đảng </t>
  </si>
  <si>
    <t>46</t>
  </si>
  <si>
    <t xml:space="preserve">Đảng ủy khối Doanh nghiệp </t>
  </si>
  <si>
    <t>47</t>
  </si>
  <si>
    <t xml:space="preserve">Trung tâm Thông tin công tác tư tưởng </t>
  </si>
  <si>
    <t>48</t>
  </si>
  <si>
    <t>49</t>
  </si>
  <si>
    <t xml:space="preserve">Chưa phân bổ </t>
  </si>
  <si>
    <t xml:space="preserve"> - Ngân sách cấp </t>
  </si>
  <si>
    <t xml:space="preserve"> - Nguồn học phí CCTL đảm bảo </t>
  </si>
  <si>
    <t>Phụ lục số 01</t>
  </si>
  <si>
    <t>Phụ lục số 02</t>
  </si>
  <si>
    <t>Phụ lục số 07</t>
  </si>
  <si>
    <t xml:space="preserve"> - CS TH các NV, DA khoa học Công nghệ (Bao gồm chính sách nấm 3 tỷ)</t>
  </si>
  <si>
    <t xml:space="preserve">  + QH sử dụng đất, Kiểm kê đo đạc</t>
  </si>
  <si>
    <t>Hỗ trợ hoạt động của Ban PCLB tỉnh</t>
  </si>
  <si>
    <t xml:space="preserve"> - Tạp chí UBKT Trung ương</t>
  </si>
  <si>
    <t>CS hỗ trợ Hộ nghèo vùng KK (QĐ số 102/TTg)</t>
  </si>
  <si>
    <t xml:space="preserve"> - SNMT (Sở TNMT, CSMT CA tỉnh 200 tr)</t>
  </si>
  <si>
    <t xml:space="preserve"> + Chế độ ăn trưa trẻ em theo QĐ 239/TTg, QĐ số 60/TTg và chế độ GVMN NBC)</t>
  </si>
  <si>
    <t xml:space="preserve"> - Sáng tạo báo chí các hội VHNT, Hội nhà báo ĐP (NSTW)</t>
  </si>
  <si>
    <t xml:space="preserve">             + Đón hài cốt, quà, thăm viếng đối tượng ngày lễ tết, QL đối tượng theo QĐ 16, Phổ biến PL lao động …</t>
  </si>
  <si>
    <t xml:space="preserve"> + ĐƯ vốn chuẩn bị động viên (NSĐP)</t>
  </si>
  <si>
    <t xml:space="preserve"> + Các nhiệm vụ đột xuất khác về QP, QSĐP</t>
  </si>
  <si>
    <t xml:space="preserve"> - Sữa chữa công sở, MSSC tài sản các đơn vị HCSN</t>
  </si>
  <si>
    <t xml:space="preserve"> - Các chế độ chính sách về quản lý hành chính</t>
  </si>
  <si>
    <t xml:space="preserve"> - Bổ sung ngoài khoán định mức và chi khác</t>
  </si>
  <si>
    <t xml:space="preserve"> - Công nghệ thông tin phục vụ QLNN</t>
  </si>
  <si>
    <t>Chi từ nguồn viện trợ nước ngoài (Dự án PTNN)</t>
  </si>
  <si>
    <t xml:space="preserve"> - Bổ sung kinh phí ngoài định mức cho TXHL</t>
  </si>
  <si>
    <t xml:space="preserve">SCL, MS TÀI SẢN VÀ CÁC NV ĐỘT XUẤT KHÁC </t>
  </si>
  <si>
    <t>DỰ KIẾN NGUỒN CCTL, CĐCS THEO TL</t>
  </si>
  <si>
    <t>1</t>
  </si>
  <si>
    <t>2</t>
  </si>
  <si>
    <t>3</t>
  </si>
  <si>
    <t>4</t>
  </si>
  <si>
    <t>5</t>
  </si>
  <si>
    <t>7</t>
  </si>
  <si>
    <t>9</t>
  </si>
  <si>
    <t>8</t>
  </si>
  <si>
    <t>3. Bổ sung có mục tiêu</t>
  </si>
  <si>
    <t>4. Bổ sung thực hiện các nhiệm vụ đột xuất khác</t>
  </si>
  <si>
    <t xml:space="preserve"> DỰ TOÁN THU NGÂN SÁCH NHÀ NƯỚC NĂM 2016</t>
  </si>
  <si>
    <t>TỔNG HỢP DỰ TOÁN CHI NGÂN SÁCH  ĐỊA PHƯƠNG NĂM 2016</t>
  </si>
  <si>
    <t>Dự toán năm 2016</t>
  </si>
  <si>
    <t xml:space="preserve"> + Đề án đào tạo bồi dưỡng cán bộ Hội LH phụ nữ; hỗ trợ thành lập mới, đào tạo, bồi dưỡng cán bộ HTX (NSTW)</t>
  </si>
  <si>
    <t xml:space="preserve"> + Chuyển xếp lương, chuyển đổi mầm non, TH phổ thông sang công lập, HĐ Kế toán, Y tế học đường (NSTW)</t>
  </si>
  <si>
    <t xml:space="preserve">                 - Trang phục Công an xã (NSTW)</t>
  </si>
  <si>
    <t xml:space="preserve">                 - Trang phục DQTV (BCHQS tỉnh) (NSTW)</t>
  </si>
  <si>
    <t>Hỗ trợ CSVC, hoạt động do chia tách, thành lập mới (NSTW)</t>
  </si>
  <si>
    <t xml:space="preserve"> - Hỗ trợ tiền điện cho hộ nghèo, hộ chính sách xã hội (NSTW)</t>
  </si>
  <si>
    <t xml:space="preserve"> Chính sách miễn thu thủy lợi phí</t>
  </si>
  <si>
    <t xml:space="preserve"> - Trợ nợ vay tín dụng ưu đãi (KH năm 2014 và 2015 bố trí từ nguồn tăng thu) </t>
  </si>
  <si>
    <t xml:space="preserve"> - Tăng theo NĐ 116,64</t>
  </si>
  <si>
    <t xml:space="preserve"> - Tiền công HLV, VĐV tập huấn, thi đấu </t>
  </si>
  <si>
    <t xml:space="preserve"> - Các chính sách mới phát sinh</t>
  </si>
  <si>
    <t xml:space="preserve">  - Thu hồi tạm ứng các Dự án ứng nguồn 2015</t>
  </si>
  <si>
    <t xml:space="preserve">   + Hạ tầng tái định cư dự án Ngàn trươi Cẩm Trang</t>
  </si>
  <si>
    <t xml:space="preserve">  + DK từ nguồn Xuân Thành Land</t>
  </si>
  <si>
    <t xml:space="preserve">  + Trả nợ vốn vay  BTC, tạm ứng NS</t>
  </si>
  <si>
    <t xml:space="preserve">  + Điều chỉnh QH sử dụng đất 5 năm</t>
  </si>
  <si>
    <t xml:space="preserve">  + Xây dựng bản đồ hiện trạng sử dụng đất, CSDL tài nguyên môi trường ven biển, khoan trắc MT ven biển và biến đổi khí hậu</t>
  </si>
  <si>
    <t xml:space="preserve">  + Cấp lại TP Hà Tĩnh (Đất nhà đầu tư) </t>
  </si>
  <si>
    <t>Sự nghiệp Giao thông</t>
  </si>
  <si>
    <t xml:space="preserve"> - Ngân sách đảm bảo</t>
  </si>
  <si>
    <t xml:space="preserve">             + Các KH chương trình của ngành lao động theo QĐ của UBND tỉnh (bao gồm điều tra hộ nghèo, hộ cận nghèo)</t>
  </si>
  <si>
    <t xml:space="preserve"> - Bổ sung vốn Quỹ bảo trì đường bộ</t>
  </si>
  <si>
    <t xml:space="preserve"> + Thị xã Kỳ Anh</t>
  </si>
  <si>
    <t xml:space="preserve"> - Xử lý rác thải sinh hoạt cấp bách các huyện kể cả hỗ trợ chi phí vận chuyển rác thải</t>
  </si>
  <si>
    <t xml:space="preserve"> - Đề án bệnh viện vệ tinh</t>
  </si>
  <si>
    <t xml:space="preserve"> - Bổ sung kinh phí ngoài định mức cho TX Kỳ Anh</t>
  </si>
  <si>
    <t>Đề án, chính sách mới</t>
  </si>
  <si>
    <t xml:space="preserve"> - Phần mềm đăng ký hộ tịch (theo Kế hoạch 312/KH-UBND ngày 07/7/2015 của UBND  tỉnh)</t>
  </si>
  <si>
    <t xml:space="preserve"> - Hỗ trợ phát triển tài sản trí tuệ</t>
  </si>
  <si>
    <t xml:space="preserve"> - Chính sách trường chuyên và các trường THPT</t>
  </si>
  <si>
    <t xml:space="preserve"> - Nâng cao hiệu quả HĐ của Đài truyền thanh không dây giai đoạn 2015-2017 và những năm tiếp theo</t>
  </si>
  <si>
    <t xml:space="preserve"> - Phụ cấp trưởng ban công tác mặt trận ở thôn, tổ dân phố, cán bộ UBKT đảng cấp xã, Đội viên thuộc đề án 500, đề án theo QĐ 218, đề án dạy nghề cho người khuyết tật</t>
  </si>
  <si>
    <t xml:space="preserve"> - Chính sách thực hiện Nghị định 29/2013/NĐ-CP (phần do NSĐP phải đảm bảo)</t>
  </si>
  <si>
    <t xml:space="preserve"> - Hỗ trợ thực hiện NQ nội chính và các NQ khác của Tỉnh ủy, HĐND tỉnh</t>
  </si>
  <si>
    <t xml:space="preserve"> - Hỗ trợ con liệt sỹ, thương binh vào làm việc</t>
  </si>
  <si>
    <t xml:space="preserve"> - Hỗ trợ vốn đầu tư phát triển 3 đô thị</t>
  </si>
  <si>
    <t xml:space="preserve"> - Hỗ trợ đầu tư huyện mới Kỳ Anh</t>
  </si>
  <si>
    <t xml:space="preserve"> - Quỹ dự trữ vật tư thú y</t>
  </si>
  <si>
    <t xml:space="preserve"> - Hỗ trợ sửa chữa lớn cơ sở vật chất phục vụ các nhiệm vụ chính trị</t>
  </si>
  <si>
    <t>Thị xã Kỳ Anh</t>
  </si>
  <si>
    <t>DỰ TOÁN THU NGÂN SÁCH HUYỆN, XÃ NĂM 2016</t>
  </si>
  <si>
    <t>DỰ TOÁN CHI NGÂN SÁCH HUYỆN, XÃ NĂM 2016</t>
  </si>
  <si>
    <t>Hội nghị vận động phí Chính phủ tại Hà Nội (Sở Ngoại vụ)</t>
  </si>
  <si>
    <t>Thi hòa giải viên giỏi (Sở Tư pháp)</t>
  </si>
  <si>
    <t>BQL các dự án trọng điểm</t>
  </si>
  <si>
    <t>Liên hoan phụ trách sao giỏi cấp tỉnh</t>
  </si>
  <si>
    <t xml:space="preserve"> Hội BT người KT và trẻ mồ côi </t>
  </si>
  <si>
    <t>Đại hội Liên minh HTX Nhiệm kỳ V</t>
  </si>
  <si>
    <t>Đại hội Liên hiệp các tổ chức hữu nghị NK II</t>
  </si>
  <si>
    <t>Đại hội Hội Cựu TNXP NK III</t>
  </si>
  <si>
    <t>Giám định y khoa</t>
  </si>
  <si>
    <t>CT Quốc gia bảo vệ TE (NSTW)</t>
  </si>
  <si>
    <t>CT Hành động phòng, chống mại dâm (NSTW)</t>
  </si>
  <si>
    <t>Chương trình bố trí dân cư (NSTW)</t>
  </si>
  <si>
    <t>CT Quốc gia về an toàn lao động, VSLĐ (NSTW)</t>
  </si>
  <si>
    <t>CT Quốc gia về bình đẳng giới (NSTW)</t>
  </si>
  <si>
    <t>Các chính sách khác</t>
  </si>
  <si>
    <t>Sàn Giao dịch việc làm</t>
  </si>
  <si>
    <t>Điều tra cung cầu lao động</t>
  </si>
  <si>
    <t>Hoạt động ban Công tác người cao tuổi</t>
  </si>
  <si>
    <t>Hỗ trợ Điều dưỡng</t>
  </si>
  <si>
    <t xml:space="preserve"> Chi cho các đối tượng cai ngiện ma túy bắt buộc </t>
  </si>
  <si>
    <t xml:space="preserve"> KP đón hài cốt LS; quà, thăm viếng đối tượng ngày lễ, tết; QL đối tượng theo QĐ 16; PB PL Lao động… </t>
  </si>
  <si>
    <t xml:space="preserve"> Điều tra hộ nghèo, cận nghèo</t>
  </si>
  <si>
    <t xml:space="preserve"> KP Ban chỉ đạo TDĐK trên CS QĐ 794/2012 </t>
  </si>
  <si>
    <t>Ban Chỉ đạo ĐA 61 của tỉnh (Hội Nông dân)</t>
  </si>
  <si>
    <t xml:space="preserve">Ban QL di tích Đồng Lộc </t>
  </si>
  <si>
    <t>Quỹ Phát triển phụ nữ</t>
  </si>
  <si>
    <t xml:space="preserve">BQK KKT Cửa khẩu cầu treo </t>
  </si>
  <si>
    <t>Đại hội nhiệm kỳ Hội phụ nữ</t>
  </si>
  <si>
    <t xml:space="preserve">               SN chăm sóc trẻ em (Sở LĐ) </t>
  </si>
  <si>
    <t>Dự toán chi ngân sách huyện năm 2016</t>
  </si>
  <si>
    <t xml:space="preserve"> + Gặp mặt cán bộ cấp tướng năm 2016</t>
  </si>
  <si>
    <t xml:space="preserve"> + Hỗ trợ thực hiện các nhiệm vụ tại Khu kinh tế Vũng Áng, sửa chữa tàu xuồng tuần tra đảo Sơn Dương, giao ban nước bạn Lào, sửa chữa vũ khí trang bị KT giúp nước bạn Lào</t>
  </si>
  <si>
    <t xml:space="preserve"> - Thi tìm hiểu hiến pháp và tìm hiểu các Luật khác</t>
  </si>
  <si>
    <t xml:space="preserve"> - DK Thực hiện NĐ 29/2013/CP về CB BCT, thôn, chi hội</t>
  </si>
  <si>
    <t xml:space="preserve"> - CĐCS, BHYT người nghèo, LTCM, NĐ 136, HS, TN…</t>
  </si>
  <si>
    <t xml:space="preserve"> + Thực hiện chế độ theo NĐ số 84/CP (sửa đổi 49, 74/CP), CS khác</t>
  </si>
  <si>
    <t xml:space="preserve"> - Trả nợ thu hồi các dự án ứng trước năm 2015</t>
  </si>
  <si>
    <t>Tiền thuê đất TXHL</t>
  </si>
  <si>
    <t xml:space="preserve"> - Xuất bản sách Ban thường vụ tỉnh ủy qua các thời kỳ</t>
  </si>
  <si>
    <t xml:space="preserve"> - Chưa phân bổ (Bao gồm xử lý môi trường nghiêm trọng NSTW)</t>
  </si>
  <si>
    <t xml:space="preserve"> + Ngân sách cấp (Gồm ĐT NLLĐ KT, ĐT Lào,Thu hút theo Quyết định số 14)</t>
  </si>
  <si>
    <t xml:space="preserve"> DK Hỗ trợ các CS TW ban hành do ĐP đảm bảo (NSTW)</t>
  </si>
  <si>
    <t xml:space="preserve"> - Chi thường xuyên (Gồm cả Hỗ trợ thực hiện nhiệm vụ tại KKT VA;  Đưa đón các Đoàn; Hỗ trợ TH Luật PCCC; Hỗ trợ SC nhà tạm giam các đơn vị; PCTN, buôn lậu; Tình báo; Hỗ trợ thi hành luật PCCC, Hỗ trợ mua sắm…) </t>
  </si>
  <si>
    <t xml:space="preserve"> - Kinh phí Đảng (Gồm PC cấp ủy, PC thâm niên, kiểm tra, tăng huy hiệu đảng bậc cao, khối DN, KCB định kỳ, CĐ phụ cấp, sữa chữa trụ sở 8 tỷ ) </t>
  </si>
  <si>
    <t>DỰ TOÁN CHI NGÂN SÁCH CÁC ĐƠN VỊ CẤP TỈNH NĂM 2016</t>
  </si>
  <si>
    <t>Biên chế KH 2015</t>
  </si>
  <si>
    <t xml:space="preserve">Hội Tâm năng dưỡng sinh-  PHSK </t>
  </si>
  <si>
    <t>Đại hội Hội BT người KT và trẻ MC NK III</t>
  </si>
  <si>
    <t>10</t>
  </si>
  <si>
    <t>11</t>
  </si>
  <si>
    <t>12</t>
  </si>
  <si>
    <t>Các KH chăm sóc TE có hoàn cảnh KH, ĐA, CT ngành Lao động: Chăm sóc TE, Trợ giúp người khuyết tật…</t>
  </si>
  <si>
    <t xml:space="preserve"> DỰ TOÁN CHI SỰ NGHIỆP ĐÀO TẠO NĂM 2016</t>
  </si>
  <si>
    <t>* Chi thường xuyên</t>
  </si>
  <si>
    <t>* Trả nợ ứng 2016</t>
  </si>
  <si>
    <t xml:space="preserve"> - Đào tạo phổ cập CB xã + THBD ngành </t>
  </si>
  <si>
    <t xml:space="preserve"> - Đào tạo CB Bưu điện xã</t>
  </si>
  <si>
    <t xml:space="preserve">Trung tâm Dịch vụ Tài chính công (TH KT xã, luật NSNN, NĐ 16...) </t>
  </si>
  <si>
    <t>Chi cục Dân số/KHH gia đình</t>
  </si>
  <si>
    <t>Chính sách thu hút, ĐTBD nguồn nhân lực</t>
  </si>
  <si>
    <t>Thực hiện Luật DQTV (T.phục và CĐCS 2016)</t>
  </si>
  <si>
    <t xml:space="preserve"> - Thực hiện các kế hoạch, chương trình, ứng dụng CNTT và một số chế độ khác </t>
  </si>
  <si>
    <t xml:space="preserve"> - Chênh lệch chế độ TT 73 so với TT 155</t>
  </si>
  <si>
    <t xml:space="preserve"> - Hỗ trợ trường PTTH Hương Sơn chuyển địa điểm mới</t>
  </si>
  <si>
    <t xml:space="preserve"> - Chính sách đặc thù ngành Y tế (Bao gồm hỗ trợ một phần trang thiết bị y tế cấp bách)</t>
  </si>
  <si>
    <t xml:space="preserve"> - Hỗ trợ xây dựng trạm y tế xã</t>
  </si>
  <si>
    <t xml:space="preserve"> - CS Phát triển NNNT theo NQ90 (QĐ 24, CS Chăn nuôi lợn, Súc sản, Giống SP chủ lực, Rau củ quả, cải tạo đất cát hoang hóa bạc màu, hỗ trợ DN đầu tư vào NNNT và Khu nông nghiệp công nghệ cao)</t>
  </si>
  <si>
    <t xml:space="preserve"> - Đề án Một số chính sách phát triển thể thao thành tích cao giai đoạn 2016- 2017 và những năm tiếp theo (bao gồm cả thành lập mới đội bóng chuyền)</t>
  </si>
  <si>
    <t xml:space="preserve"> - Công nghệ TT, CCHC các cơ quan nhà nước (Các Quyết định số: 4195, 3902, 3918 của UBND tỉnh)</t>
  </si>
  <si>
    <t xml:space="preserve"> - Thực hiện các nhiệm vụ, dự án quy hoạch (Bao gồm cả Bố trí các Quy hoạch lớn, trọng điểm)</t>
  </si>
  <si>
    <t xml:space="preserve"> - Đề án CP điện tử (Tích hợp, kết nối các hệ thống thông tin, dữ liệu điện tử từ Chính phủ, bộ, ngành, huyện , thị xã) và QĐ 2511, 3730, VB số 3818 của UBND Tỉnh; xây dựng CSDL quản lý đầu tư XDCB.</t>
  </si>
  <si>
    <t xml:space="preserve"> - TP Hà Tĩnh 6 tỷ, TXHL 3 tỷ, (các huyện theo ĐM)</t>
  </si>
  <si>
    <t xml:space="preserve">Liên hiệp các Hội khoa học kỹ thuật </t>
  </si>
  <si>
    <t>DỰ TOÁN THU NSNN GIAO CHO CÁC HUYỆN, THÀNH PHỐ, THỊ XÃ NĂM 2016</t>
  </si>
  <si>
    <t xml:space="preserve"> - CS hỗ trợ trường CĐ Văn hóa</t>
  </si>
  <si>
    <t>STT</t>
  </si>
  <si>
    <t>Danh mục dự án</t>
  </si>
  <si>
    <t>Địa điểm XD</t>
  </si>
  <si>
    <t>Quyết định đầu tư ban đầu</t>
  </si>
  <si>
    <t>Quyết định đầu tư điều chỉnh</t>
  </si>
  <si>
    <t>Lũy kế số vốn đã bố trí từ khởi công đến hết năm 2015</t>
  </si>
  <si>
    <t>Nhu cầu đầu tư 5 năm 2016-2020 (tất cả nguồn vốn)</t>
  </si>
  <si>
    <t>Nhu cầu vốn Ngân sách tập trung năm 2016</t>
  </si>
  <si>
    <t>Dự kiến kế hoạch ĐTPT nguồn Ngân sách tập trung năm 2016</t>
  </si>
  <si>
    <t>Ghi chú</t>
  </si>
  <si>
    <t>Số quyết định; ngày, tháng, năm ban hành</t>
  </si>
  <si>
    <t>Tổng mức
 đầu tư</t>
  </si>
  <si>
    <t>Tổng số (tất cả các nguồn vốn)</t>
  </si>
  <si>
    <t>Trong đó: Ứng trước chưa bố trí vốn thu hồi</t>
  </si>
  <si>
    <t>Trong đó: Thanh toán nợ XDCB (đến 31/12/2014)</t>
  </si>
  <si>
    <t>TỔNG SỐ</t>
  </si>
  <si>
    <t>THU HỒI CÁC KHOẢN ỨNG TRƯỚC</t>
  </si>
  <si>
    <t>Năm 2014 ứng kế hoạch 2015</t>
  </si>
  <si>
    <t>Can Lộc</t>
  </si>
  <si>
    <t>807; 23/3/2011</t>
  </si>
  <si>
    <t>Nâng cấp trạm bơm và hệ thống tưới, tiêu vùng trọng điểm lúa huyện Đức Thọ</t>
  </si>
  <si>
    <t>Đức Thọ</t>
  </si>
  <si>
    <t xml:space="preserve"> 2534;  27/8/2010</t>
  </si>
  <si>
    <t>Năm 2015 ứng kế hoạch 2016</t>
  </si>
  <si>
    <t xml:space="preserve"> Đường giao thông xóm 6, xóm 8 xã Hương Lâm, huyện Hương Khê</t>
  </si>
  <si>
    <t>Hương Khê</t>
  </si>
  <si>
    <t>1752; 12/5/2015</t>
  </si>
  <si>
    <t>Đầu tư xây dựng các cụm đèn tín hiệu giao thông trên địa bàn thành phố Hà Tĩnh</t>
  </si>
  <si>
    <t>2550; 2/7/2015</t>
  </si>
  <si>
    <t>Dự án Phát triển nông thôn tổng hợp các tỉnh miền Trung - khoản vay bổ sung</t>
  </si>
  <si>
    <t>Các huyện</t>
  </si>
  <si>
    <t>Hệ thống đường phục vụ sản xuất lâm nghiệp, phát triển rừng và bảo vệ, phòng cháy chữa cháy rừng, tỉnh Hà Tĩnh (giai đoạn 1)</t>
  </si>
  <si>
    <t>3235; 31/10/2012</t>
  </si>
  <si>
    <t>Sửa chữa, nâng cấp đường từ bến số 1 vào khu Kho gas, xăng dầu Vũng Áng</t>
  </si>
  <si>
    <t>3042; 7/8/2015</t>
  </si>
  <si>
    <t>Cải thiện nông nghiệp có tưới tỉnh Hà Tĩnh</t>
  </si>
  <si>
    <t>09/QĐ-BNN</t>
  </si>
  <si>
    <t>Bồi thường, GPMB dự án xây dựng doanh trại Ban Chỉ huy quân sự Thành phố Hà Tĩnh</t>
  </si>
  <si>
    <t>BT, GPMB dự án nâng cấp, mở rộng đường tỉnh lộ 21, huyện Thạch Hà</t>
  </si>
  <si>
    <t>Thạch Hà</t>
  </si>
  <si>
    <t>503;  21/2/2014</t>
  </si>
  <si>
    <t>Lộc Hà</t>
  </si>
  <si>
    <t xml:space="preserve">1840; 26/6/2012 </t>
  </si>
  <si>
    <t>Tiểu dự án Hợp phần 3 "Quản lý rủi ro thiên tai dựa vào cộng đồng" tỉnh Hà Tĩnh giai đoạn 1</t>
  </si>
  <si>
    <t>2623; 11/9/2014</t>
  </si>
  <si>
    <t>Dự án Nguồn lợi ven biển vì sự phát triển bền vững (WB)</t>
  </si>
  <si>
    <t>3221; 29/10/2012</t>
  </si>
  <si>
    <t>Dự án phục hồi và quản lý bền vững rừng phòng hộ (Jica2)</t>
  </si>
  <si>
    <t>2225; 01/8/2012</t>
  </si>
  <si>
    <t>Dự án cấp nước sạch và VSMT nông thôn vùng Miền Trung - Tỉnh Hà Tĩnh</t>
  </si>
  <si>
    <t>CÁC DỰ ÁN KHOA HỌC CÔNG NGHỆ</t>
  </si>
  <si>
    <t>Trạm kiểm định đo lường chất lượng tại Khu kinh tế Vũng Áng</t>
  </si>
  <si>
    <t>Vũng Áng, Kỳ Anh</t>
  </si>
  <si>
    <t>Dự án đầu tư xây dựng công trình Trung tâm ứng dụng tiến bộ KH&amp;CN tỉnh Hà Tĩnh</t>
  </si>
  <si>
    <t>Thạch Hạ - TP Hà Tĩnh</t>
  </si>
  <si>
    <t>HỖ TRỢ ĐẦU TƯ XÂY DỰNG CÁC TRƯỜNG ĐẠT CHUẨN QUỐC GIA, CÁC TRƯỜNG SAU SÁT NHẬP</t>
  </si>
  <si>
    <t>Phân bổ chi tiết sau</t>
  </si>
  <si>
    <t>ĐỀ ÁN PHÁT TRIỂN DÂN TỘC CHỨT</t>
  </si>
  <si>
    <t>ĐỐI ỨNG CÁC DỰ ÁN ODA, NGO</t>
  </si>
  <si>
    <t>BỐ TRÍ VỐN THANH TOÁN NỢ VÀ CHUYỂN TIẾP CÁC DỰ ÁN SỬ DỤNG NGÂN SÁCH TRUNG ƯƠNG</t>
  </si>
  <si>
    <t>(1)</t>
  </si>
  <si>
    <t>Dự án hoàn thành, bàn giao đưa vào sử dụng trước 31/12/2015</t>
  </si>
  <si>
    <t>Vũ Quang</t>
  </si>
  <si>
    <t>1600; 20/5/2011</t>
  </si>
  <si>
    <t xml:space="preserve">Trung tâm Y tế dự phòng huyện Đức Thọ </t>
  </si>
  <si>
    <t>336; 04/02/2010</t>
  </si>
  <si>
    <t>4101; 23/12/2014</t>
  </si>
  <si>
    <t>1603 20/5/2011</t>
  </si>
  <si>
    <t>1583; 9/6/2008</t>
  </si>
  <si>
    <t>3472; 28/10/2011</t>
  </si>
  <si>
    <t>3050; 30/9/2013</t>
  </si>
  <si>
    <t>Thư viện tỉnh</t>
  </si>
  <si>
    <t>3131
6/11/2008</t>
  </si>
  <si>
    <t>2223; 01/8/2012</t>
  </si>
  <si>
    <t>Khu xử lý rác huyện Lộc Hà</t>
  </si>
  <si>
    <t>3584      11/11/2011</t>
  </si>
  <si>
    <t>Đường giao thông xã Thạch Liên</t>
  </si>
  <si>
    <t>1124; 03/4/2011</t>
  </si>
  <si>
    <t>Cầu Đá Đón xã Sơn Kim 2, huyện Hương Sơn</t>
  </si>
  <si>
    <t>Hương Sơn</t>
  </si>
  <si>
    <t>464;  17/02/2014</t>
  </si>
  <si>
    <t>Cầu Hương Đô</t>
  </si>
  <si>
    <t xml:space="preserve">  991;  14/4/2014</t>
  </si>
  <si>
    <t>Tôn tạo nâng cấp và mở rộng khu DTLS Xô Viết Nghệ Tĩnh Ngã 3 Nghèn</t>
  </si>
  <si>
    <t xml:space="preserve"> Can Lộc</t>
  </si>
  <si>
    <t>2032
6/7/2009</t>
  </si>
  <si>
    <t>(2)</t>
  </si>
  <si>
    <t>Dự án chuyển tiếp</t>
  </si>
  <si>
    <t>Đường giao thông đến xã Sơn Bằng - Sơn Lễ (Giai đoạn 1)</t>
  </si>
  <si>
    <t>163; 20/01/2010</t>
  </si>
  <si>
    <t>Đường Tây Lĩnh Hồng đi khu di tích Hải Thượng Lãn Ông (Đường vào trung tâm xã Sơn Quang)</t>
  </si>
  <si>
    <t>3863; 31/12/2008 và 745; 21/3/2011</t>
  </si>
  <si>
    <t>4041; 20/10/2015</t>
  </si>
  <si>
    <t>Đường giao thông liên xã Đức Lĩnh đi thị trấn Vũ Quang</t>
  </si>
  <si>
    <t>3168; 20/10/2014;  3639; 26/11/2014</t>
  </si>
  <si>
    <t>Nâng cấp, mở rộng đường liên huyện Song Lộc - Thuận Lộc, huyện Can Lộc</t>
  </si>
  <si>
    <t>2797; 25/9/2014;  3640; 26/11/2014</t>
  </si>
  <si>
    <t>Đường ứng cứu hồ Kẻ Gỗ, huyện Cẩm Xuyên</t>
  </si>
  <si>
    <t>Cẩm Xuyên</t>
  </si>
  <si>
    <t>884; 28/3/2010</t>
  </si>
  <si>
    <t>Dự án: Hạ tầng trung tâm Khu du lịch Xuân Thành, huyện Nghi Xuân</t>
  </si>
  <si>
    <t>Nghi Xuân</t>
  </si>
  <si>
    <t xml:space="preserve">3395;  31/10/2013  </t>
  </si>
  <si>
    <t>Sữa chữa, nâng cấp Hệ thống thủy lợi Khe Con - Họ Võ, xã Hương Giang</t>
  </si>
  <si>
    <t>33; 06/01/2014</t>
  </si>
  <si>
    <t>295
5/2/2009</t>
  </si>
  <si>
    <t>2289
12/8/2014</t>
  </si>
  <si>
    <t>2414; 11/9/2007</t>
  </si>
  <si>
    <t>Sửa chữa, nâng cấp Hồ Bộc Nguyên</t>
  </si>
  <si>
    <t>78; 7/1/2011</t>
  </si>
  <si>
    <t>906; 07/4/2014</t>
  </si>
  <si>
    <t>Kè chống sạt lở bờ sông Rác đoạn qua xã Cẩm Lạc,  Cẩm Trung huyện Cẩm Xuyên</t>
  </si>
  <si>
    <t>3399; 24/10/2011</t>
  </si>
  <si>
    <t>Đường vào trung tâm xã Cẩm Thăng</t>
  </si>
  <si>
    <t>1528 31/5/2010</t>
  </si>
  <si>
    <t>1919; 28/7/2015</t>
  </si>
  <si>
    <t>Đường vào trung tâm xã Hòa Hải, Hương Bình, huyện Hương Khê</t>
  </si>
  <si>
    <t>2917; 8/10/2010</t>
  </si>
  <si>
    <t>Củng cố, nâng cấp đê Hải - Thư huyện Kỳ Anh</t>
  </si>
  <si>
    <t>Kỳ Anh</t>
  </si>
  <si>
    <t>583; 08/3/2011</t>
  </si>
  <si>
    <t>1984; 08/7/2010</t>
  </si>
  <si>
    <t>2402;;
21/5/2011</t>
  </si>
  <si>
    <t xml:space="preserve">Củng cố, nâng cấp đê Kỳ Thọ, huyện Kỳ Anh </t>
  </si>
  <si>
    <t>2374; 19/7/2011</t>
  </si>
  <si>
    <t>4078; 22/10/2015</t>
  </si>
  <si>
    <t xml:space="preserve">Trung tâm giáo dục thường xuyên - hướng nghiệp và dạy nghề Lộc Hà </t>
  </si>
  <si>
    <t>1757; 19/06/2012</t>
  </si>
  <si>
    <t xml:space="preserve">Dự án trường Cao đẳng Y tế </t>
  </si>
  <si>
    <t>3504; 02/11/2011</t>
  </si>
  <si>
    <t>3036; 13/10/2014</t>
  </si>
  <si>
    <t>Nâng cấp tuyến đường vào trung tâm xã Thạch Vĩnh</t>
  </si>
  <si>
    <t>1836; 28/06/2010</t>
  </si>
  <si>
    <t>3740; 25/11/2011</t>
  </si>
  <si>
    <t>2212; 30/7/2010</t>
  </si>
  <si>
    <t xml:space="preserve"> 1178;  06/4/2011</t>
  </si>
  <si>
    <t>3395;  23/11/2010</t>
  </si>
  <si>
    <t>Đường  cứu hộ, cứu nạn các xã Đức Bồng, Đức Lĩnh, Đức Giang, Ân Phú huyện Vũ Quang</t>
  </si>
  <si>
    <t xml:space="preserve">   3958;  30/12/2010</t>
  </si>
  <si>
    <t>Hồng Lĩnh, Can Lộc, Lộc Hà</t>
  </si>
  <si>
    <t>3073; 15/10/2010</t>
  </si>
  <si>
    <t>Cầu Đồng Văn</t>
  </si>
  <si>
    <t>Đức Thọ, Vũ Quang</t>
  </si>
  <si>
    <t>1072; 02/6/2003; 3344; 25/10/2013;  3625; 25/11/2014</t>
  </si>
  <si>
    <t>TP- CX-HK</t>
  </si>
  <si>
    <t>1061; 5/4/2011</t>
  </si>
  <si>
    <t>Đường ứng cứu lũ xã Sơn Diệm, huyện Hương Sơn</t>
  </si>
  <si>
    <t>1524; 31/5/2010</t>
  </si>
  <si>
    <t>2882; 05/10/2010</t>
  </si>
  <si>
    <t>3770; 27/11/2009</t>
  </si>
  <si>
    <t>743; 20/03/2014</t>
  </si>
  <si>
    <t>377/QĐ-UBND; 5/2/2010</t>
  </si>
  <si>
    <t>466; 20/2/2012</t>
  </si>
  <si>
    <t>BỐ TRÍ VỐN THANH TOÁN NỢ VÀ CHUYỂN TIẾP CÁC DỰ ÁN SỬ DỤNG NGÂN SÁCH ĐỊA PHƯƠNG</t>
  </si>
  <si>
    <t>Trường trung cấp nghề Hà Tĩnh</t>
  </si>
  <si>
    <t>1600; 03/6/2009 419; 06/02/2014</t>
  </si>
  <si>
    <t>Đường giao thông liên xã Sơn Bình - Sơn Tân</t>
  </si>
  <si>
    <t xml:space="preserve">64; 11/01/2008 </t>
  </si>
  <si>
    <t>2436, 21/8/2012</t>
  </si>
  <si>
    <t xml:space="preserve">Trụ sở Sở Nông nghiệp và Phát triển nông thôn </t>
  </si>
  <si>
    <t>113; 18/01/2010</t>
  </si>
  <si>
    <t>3778; 30/9/2015</t>
  </si>
  <si>
    <t>Xã Thạch Tiến</t>
  </si>
  <si>
    <t>1371, 16/5/2008; 3976, 15/12/2014</t>
  </si>
  <si>
    <t>3976, 15/12/2014</t>
  </si>
  <si>
    <t>Cải tạo, nâng cấp nghĩa Trang liệt sỹ thị xã Hồng Lĩnh</t>
  </si>
  <si>
    <t>3272; 21/10/2013</t>
  </si>
  <si>
    <t>Cầu tràn Bến Xắt, xã Kỳ Thượng, huyện Kỳ Anh</t>
  </si>
  <si>
    <t>Kỳ Thượng</t>
  </si>
  <si>
    <t>Đường giao thông xã Sơn Hòa</t>
  </si>
  <si>
    <t>3329; 13/10/2011</t>
  </si>
  <si>
    <t xml:space="preserve">Hương Sơn </t>
  </si>
  <si>
    <t xml:space="preserve">1284;,  05/05/09 </t>
  </si>
  <si>
    <t xml:space="preserve"> 3370; 23/10/09</t>
  </si>
  <si>
    <t xml:space="preserve">Đường Phúc Trạch - Hương Liên, huyện Hương Khê </t>
  </si>
  <si>
    <t xml:space="preserve"> 3446; 13/11/2014 </t>
  </si>
  <si>
    <t>Đường giao thông liên xã Đất Đỏ - Thầu Đâu, nối liền từ Kỳ Giang đi Kỳ Trung, huyện Kỳ Anh</t>
  </si>
  <si>
    <t>2152; 17/7/2013</t>
  </si>
  <si>
    <t>Dự án cải tạo, sửa chữa Trường Chính trị Trần Phú</t>
  </si>
  <si>
    <t>3205; 13/8/2015</t>
  </si>
  <si>
    <t xml:space="preserve"> Khu tưởng niệm đồng chí Lý Tự Trọng </t>
  </si>
  <si>
    <t xml:space="preserve">2461QĐ/TWĐTN ngày 23/9/2011 </t>
  </si>
  <si>
    <t>Đường Giao thông Cẩm Hưng –Cẩm Lạc, huyện Cẩm Xuyên</t>
  </si>
  <si>
    <t>Đường hầm Sở Chỉ huy thời chiến của Tỉnh ủy, HĐND tỉnh (đường hầm số 1, ký hiệu CH3-01)</t>
  </si>
  <si>
    <t>3710; 25/11/2013</t>
  </si>
  <si>
    <t>2741; 15/7/2015</t>
  </si>
  <si>
    <t>710; 26/2/2015</t>
  </si>
  <si>
    <t>Hệ thống tiêu úng các xã Tùng Ảnh - Thị trấn - Đức Yên, huyện Đức Thọ</t>
  </si>
  <si>
    <t>2135; 31/7/2014</t>
  </si>
  <si>
    <t>Đường vào trung tâm xã Thuận Lộc (tuyến chính)</t>
  </si>
  <si>
    <t>Hồng Lĩnh</t>
  </si>
  <si>
    <t xml:space="preserve">2329; 14/7/2011 </t>
  </si>
  <si>
    <t>Nâng cấp đường giao thông trục chính xã Cẩm Hòa (tuyến đường 20/7)</t>
  </si>
  <si>
    <t>Xã Cẩm Hòa</t>
  </si>
  <si>
    <t>Đường giao thông nội thị thị trấn Vũ Quang</t>
  </si>
  <si>
    <t>3451, 13/11/2014</t>
  </si>
  <si>
    <t>Đường cứu hộ cứu nạn Minh Thanh</t>
  </si>
  <si>
    <t>3959; 30/12/2010</t>
  </si>
  <si>
    <t>Trường THPT Nguyễn Đổng Chi, huyện Lộc Hà</t>
  </si>
  <si>
    <t>Đường giao thông Ngọc Lau - Mục Bài - Hương Xuân, xã Hương Vĩnh</t>
  </si>
  <si>
    <t xml:space="preserve">6005; 25/12/2014 </t>
  </si>
  <si>
    <t xml:space="preserve">6046; 26/12/2014 </t>
  </si>
  <si>
    <t>Đường giao thông nông thôn xã Hương Đô, huyện Hương Khê</t>
  </si>
  <si>
    <t>3613; 18/9/2015</t>
  </si>
  <si>
    <t>Đường GTNT xã Thạch Tiến, huyện Thạch Hà</t>
  </si>
  <si>
    <t>Thạch Tiến</t>
  </si>
  <si>
    <t>Đường giao thông xã Đức Vĩnh, huyện Đức Thọ</t>
  </si>
  <si>
    <t>3016;  10/10/2014</t>
  </si>
  <si>
    <t>Nhà học 3 tầng 15 phòng Trường THCS Đại Nài, thành phố Hà Tĩnh.</t>
  </si>
  <si>
    <t>389; 28/1/2015</t>
  </si>
  <si>
    <t>Đường GTNT xã Hương Thọ, huyện Vũ Quang (tuyến từ thôn 4 đi thôn 5)</t>
  </si>
  <si>
    <t>2410; 24/6/2015</t>
  </si>
  <si>
    <t>Cầu Nhà Rôm và đường giao thông thôn 11, thôn 12 xã Hương Giang, huyện Hương Khê</t>
  </si>
  <si>
    <t>3989; 15/10/2015</t>
  </si>
  <si>
    <t>Đường nối từ đường Hồ Chí Minh vào đường trục chính xã Hương Long, huyện Hương Khê</t>
  </si>
  <si>
    <t>Đường vành đai kiêm đường tránh tại Khu di tích Ngã ba Đồng Lộc (giai đoạn 1)</t>
  </si>
  <si>
    <t>2065; 28/7/2014</t>
  </si>
  <si>
    <t xml:space="preserve">Sữa chữa, nâng cấp đập Khe Lau, xã Cẩm Lĩnh, huyện Cẩm Xuyên </t>
  </si>
  <si>
    <t>Câm Xuyên</t>
  </si>
  <si>
    <t>4332; 31/12/2014</t>
  </si>
  <si>
    <t>Cầu Đồng Huề, xã Vượng Lộc, huyện Can Lộc</t>
  </si>
  <si>
    <t>Cải tạo, nâng công suất nhà máy nước Bộc Nguyên từ 24.000m3/ngày đêm lên 3.000m3/ngày đêm</t>
  </si>
  <si>
    <t xml:space="preserve"> 2174;  01/8/2014 </t>
  </si>
  <si>
    <t>BỐ TRÍ VỐN CHUẨN BỊ ĐẦU TƯ VÀ KHỞI CÔNG MỚI</t>
  </si>
  <si>
    <t>Chuẩn bị đầu tư Bảo tàng tỉnh</t>
  </si>
  <si>
    <t>Phụ lục số 08</t>
  </si>
  <si>
    <t>DANH MỤC CHƯƠNG TRÌNH, DỰ ÁN DỰ KIẾN BỐ TRÍ NGUỒN NGÂN SÁCH TẬP TRUNG NĂM 2016</t>
  </si>
  <si>
    <t>1885; 20/5/2015</t>
  </si>
  <si>
    <t xml:space="preserve">1329; 16/4/2015 </t>
  </si>
  <si>
    <t>4208; 24/12/2013</t>
  </si>
  <si>
    <t>2021; 05/7/2013</t>
  </si>
  <si>
    <t>3979; 25/10/2013</t>
  </si>
  <si>
    <t>866; 25/3/2011</t>
  </si>
  <si>
    <t xml:space="preserve"> 409; 29/01/2015 </t>
  </si>
  <si>
    <t xml:space="preserve">1246; 07/5/2013 </t>
  </si>
  <si>
    <t xml:space="preserve">1228; 13/4/2015 </t>
  </si>
  <si>
    <t xml:space="preserve"> - Quỹ Phát triển HTX</t>
  </si>
  <si>
    <t xml:space="preserve"> - Bổ sung Quỹ hỗ trợ nông dân (Hội Nông dân)</t>
  </si>
  <si>
    <t xml:space="preserve"> - Chi thường xuyên các đơn vị</t>
  </si>
  <si>
    <t xml:space="preserve"> - Chính sách đào tạo nghề (Trong đó Trường ĐH: 7 tỷ; Cao đẳng Nghề CN: 2 tỷ)</t>
  </si>
  <si>
    <t xml:space="preserve"> - Chế độ đội thông tin truyền lưu động, bồi dưỡng cho cán bộ thư viện, ưu đãi nghề biểu diễn, chế độ thanh tra liên ngành</t>
  </si>
  <si>
    <t>Ban 389 (Hải quan)</t>
  </si>
  <si>
    <t>2. Thu CTN và dịch vụ NQD</t>
  </si>
  <si>
    <t xml:space="preserve">1. Thu từ XNQD  </t>
  </si>
  <si>
    <t>3. Thuế sử dụng đất phi nông nghiệp</t>
  </si>
  <si>
    <t>4. Thu cấp quyền sử dụng đất</t>
  </si>
  <si>
    <t>5. Tiền thuê đất, mặt nước</t>
  </si>
  <si>
    <t>6. Lệ phí trước bạ</t>
  </si>
  <si>
    <t>7. Thu phí và lệ phí</t>
  </si>
  <si>
    <t>8. Thu xổ số kiến thiết</t>
  </si>
  <si>
    <t>9. Thuế thu nhập cá nhân</t>
  </si>
  <si>
    <t>10. Thuế bảo vệ môi trường</t>
  </si>
  <si>
    <t>11. Cấp quyền khai thác khoáng sản</t>
  </si>
  <si>
    <t>A. NGÀNH THUẾ THU VÀ THU KHÁC NGÂN SÁCH</t>
  </si>
  <si>
    <t xml:space="preserve">I. NGÀNH THUẾ THU </t>
  </si>
  <si>
    <t>III. THU TẠI XÃ</t>
  </si>
  <si>
    <t>B. CÁC KHOẢN THU ĐỂ LẠI CHI QUẢN LÝ QUA NSNN</t>
  </si>
  <si>
    <t>C. THU HẢI QUAN</t>
  </si>
  <si>
    <t xml:space="preserve"> D. THU BỔ SUNG TỪ NGÂN SÁCH CẤP TRÊN</t>
  </si>
  <si>
    <t>F. THU KẾT DƯ NGÂN SÁCH NĂM TRƯỚC</t>
  </si>
  <si>
    <t>G. THU VAY THEO KHOẢN 3 ĐIỀU 8 LUẬT NSNN</t>
  </si>
  <si>
    <t>H. CHUYỂN NGUỒN</t>
  </si>
  <si>
    <t>5=2+3+4</t>
  </si>
  <si>
    <t>Sở Giáo dục và Đào tạo (Đào tạo GV cử tuyển và Tập huấn, bồi dưỡng giáo viên )</t>
  </si>
  <si>
    <t>5=3+4</t>
  </si>
  <si>
    <t xml:space="preserve">  + Hỗ trợ Dự án BT, hỗ trợ TĐC, bảo vệ môi trường khu vực thượng nguồn và ven hồ Bộc Nguyên (giai đoạn 1) và một số nội dung theo Kết luận của Thường vụ Tỉnh ủy</t>
  </si>
  <si>
    <t>HĐND TỈNH HÀ TĨNH</t>
  </si>
  <si>
    <t>CỘNG HÒA XÃ HỘI CHỦ NGHĨA VIỆT NAM</t>
  </si>
  <si>
    <t>(Ban hành kèm theo Nghị quyết số 154/NQ-HĐND ngày 12/12/2015 của HĐND tỉnh)</t>
  </si>
  <si>
    <t>(Ban hành kèm theo Nghị quyết số  154/NQ-HĐND ngày 12/12/2015 của HĐND tỉnh)</t>
  </si>
  <si>
    <t xml:space="preserve"> - Dịch vụ công trực tuyến (theo Quyết định số 4427/QĐ-UBND ngày 12/11/2015 của UBND tỉnh)</t>
  </si>
  <si>
    <t>Độc lập-Tự do-Hạnh phúc</t>
  </si>
  <si>
    <t>KHÓA XVI, KỲ HỌP THỨ 15</t>
  </si>
  <si>
    <t xml:space="preserve"> - DK kinh phí bầu cử Đại biểu HĐND (bao gồm cả trang cấp thiết bị cho đại biểu HĐND tỉnh)</t>
  </si>
  <si>
    <t>Lĩnh vực quản lý nhà nước</t>
  </si>
  <si>
    <t>TRẢ NỢ, THU HỒI TẠM ỨNG NGÂN SÁCH</t>
  </si>
  <si>
    <t>Dự án đường cứu hộ, cứu nạn các xã vùng trũng huyện Can Lộc</t>
  </si>
  <si>
    <t>Nâng cấp trạm bơm và hệ thống tưới tiêu vùng trọng điểm lúa huyện Đức Thọ</t>
  </si>
  <si>
    <t>Dự án nạo vét và chỉnh trị luồng vào cảng neo đậu, tránh trú bão Cửa Sót, huyện Lộc Hà</t>
  </si>
  <si>
    <t>Đường vào trung tâm xã Sơn Thọ, huyện Vũ Quang</t>
  </si>
  <si>
    <t>Đê Trung Linh đoạn từ Cầu Đông đến cầu Cày, thành phố Hà Tĩnh</t>
  </si>
  <si>
    <t>Đường phòng tránh lũ Hà Linh - Phương Mỹ, huyện Hương Khê</t>
  </si>
  <si>
    <t>Dự án củng cố, nâng cấp tuyến đê biển, đê cửa sông kết hợp giao thông dọc bờ biển huyện Lộc Hà (Giai đoạn 1: Đoạn từ K1+750,5 đến K3+010,5)</t>
  </si>
  <si>
    <t>3434; 04/9/2015</t>
  </si>
  <si>
    <t>Dự án cải tạo nâng cấp khu A, mở rộng khu B Doanh trại Bộ chỉ huy Bộ đội biên phòng tỉnh</t>
  </si>
  <si>
    <t>Đường giao thông các xã Hà Linh, Hương Thủy, Hương Giang, Lộc Yên, Hương Đô, Phúc Trạch</t>
  </si>
  <si>
    <t>Đê Đồng Môn đoạn từ cầu Cày đến cầu Phủ (đoạn từ K11+263 đến K15+585)</t>
  </si>
  <si>
    <t>Nâng cấp đường Gia Lách đi khu di tích Đại thi hào Nguyễn Du, huyện Nghi Xuân</t>
  </si>
  <si>
    <t>Đường cứu hộ, cứu nạn cho nhân dân các xã ven biển huyện Lộc Hà</t>
  </si>
  <si>
    <t xml:space="preserve">3920;
27/12/2010; </t>
  </si>
  <si>
    <t>3246; 29/10/2014</t>
  </si>
  <si>
    <t>Đầu tư xây dựng công trình Đội phòng cháy, chữa cháy Khu Kinh tế Vũng Áng</t>
  </si>
  <si>
    <t>Đường vào trung tâm các xã Thạch Điền, Nam Hương, Thạch Hương, Thạch Xuân, huyện Thạch Hà</t>
  </si>
  <si>
    <t>Dự án: Tu bổ, nâng cấp đê biển, đê cửa sông Lộc - Hà, huyện Cẩm Xuyên</t>
  </si>
  <si>
    <t>Dự án Đường Hòa Duyệt, Rú Nón, Đức Lĩnh, Đức Bồng, Đức Hương, Hương Thọ, Cửa Rào huyện Vũ Quang</t>
  </si>
  <si>
    <t>Cải tạo, nâng cấp tuyến đường 8B nối quốc lộ 8A, huyện Hương Sơn</t>
  </si>
  <si>
    <t>Đường miền núi liên huyện Hồng Lĩnh - Can Lộc - Lộc Hà</t>
  </si>
  <si>
    <t>Đường tránh ngập lũ thành phố Hà Tĩnh - Kẻ Gỗ - Hương Khê</t>
  </si>
  <si>
    <t>4515; 20/11/2015</t>
  </si>
  <si>
    <t>Đường giao thông các xã miền núi Cẩm Duệ - Cẩm Thành - Cẩm Bình, huyện Cẩm Xuyên</t>
  </si>
  <si>
    <t>Khu neo đậu tránh trú bão cho tàu cá Cửa Khẩu, huyện Kỳ Anh (nay là thị xã Kỳ Anh) - Giai đoạn 1</t>
  </si>
  <si>
    <t>Đường từ trung tâm xã Hòa Hải vào Đồn biên phòng 569, huyện Hương Khê</t>
  </si>
  <si>
    <t>Nhà ở bếp ăn Đại đội Cảnh sát Cơ động, phòng Cảnh sát bảo vệ thuộc Công an tỉnh  Hà Tĩnh</t>
  </si>
  <si>
    <t>Tu bổ, tôn tạo di tích lịch sử - văn hóa Đền Nen, xã Thạch Tiến, huyện Thạch Hà</t>
  </si>
  <si>
    <t>Cải tạo, nâng cấp trụ sở làm việc Sở Kế hoạch và Đầu tư</t>
  </si>
  <si>
    <t>Đường từ cầu Mỹ Thịnh nối Quốc lộ 8A, huyện Hương Sơn</t>
  </si>
  <si>
    <t>2736; 03/9/2013</t>
  </si>
  <si>
    <t>Cải tạo, sửa chữa nhà làm việc Văn phòng Tỉnh ủy</t>
  </si>
  <si>
    <t>Trụ sở làm việc HĐND - UBND huyện Thạch Hà</t>
  </si>
  <si>
    <t>Tiểu dự án hồ chứa nước Khe Xai thuộc Hệ thống thủy lợi Khe Giao, huyện Thạch Hà</t>
  </si>
  <si>
    <t>3627, 16/11/2009; 3977; 19/10/2015</t>
  </si>
  <si>
    <t>4634; 02/12/2015</t>
  </si>
  <si>
    <t>4125; 28/10/2015</t>
  </si>
  <si>
    <t>Đường nối dài thôn 3 đi thôn 13 qua cầu Ngã Ba xã Hương Giang, huyện Hương Khê</t>
  </si>
  <si>
    <t>Sửa chữa, cải tạo, mở rộng trụ sở huyện ủy Nghi Xuân</t>
  </si>
  <si>
    <t>3617; 18/9/2015</t>
  </si>
  <si>
    <t>Trang bị nội thất các phòng họp, phòng trực tuyến, phòng truyền thống - Nhà làm việc văn phòng Tỉnh ủy</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</si>
</sst>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
    <numFmt numFmtId="166" formatCode="_-* #,##0.00\ _₫_-;\-* #,##0.00\ _₫_-;_-* &quot;-&quot;??\ _₫_-;_-@_-"/>
  </numFmts>
  <fonts count="43">
    <font>
      <sz val="12"/>
      <name val="Times New Roman"/>
    </font>
    <font>
      <sz val="11"/>
      <color theme="1"/>
      <name val="Calibri"/>
      <family val="2"/>
      <scheme val="minor"/>
    </font>
    <font>
      <sz val="12"/>
      <name val="Times New Roman"/>
      <family val="1"/>
    </font>
    <font>
      <sz val="8"/>
      <name val="Times New Roman"/>
      <family val="1"/>
    </font>
    <font>
      <b/>
      <sz val="13"/>
      <name val="Times New Roman"/>
      <family val="1"/>
    </font>
    <font>
      <sz val="12"/>
      <name val="Times New Roman"/>
      <family val="1"/>
    </font>
    <font>
      <b/>
      <sz val="14"/>
      <name val="Times New Roman"/>
      <family val="1"/>
    </font>
    <font>
      <i/>
      <sz val="12"/>
      <name val="Times New Roman"/>
      <family val="1"/>
    </font>
    <font>
      <b/>
      <sz val="11"/>
      <name val="Times New Roman"/>
      <family val="1"/>
    </font>
    <font>
      <sz val="11"/>
      <name val="Times New Roman"/>
      <family val="1"/>
    </font>
    <font>
      <i/>
      <sz val="14"/>
      <name val="Times New Roman"/>
      <family val="1"/>
    </font>
    <font>
      <sz val="10"/>
      <name val="Arial"/>
      <family val="2"/>
    </font>
    <font>
      <i/>
      <sz val="13"/>
      <name val="Times New Roman"/>
      <family val="1"/>
    </font>
    <font>
      <b/>
      <sz val="12"/>
      <name val="Times New Roman"/>
      <family val="1"/>
    </font>
    <font>
      <b/>
      <i/>
      <sz val="12"/>
      <name val="Times New Roman"/>
      <family val="1"/>
    </font>
    <font>
      <sz val="10"/>
      <name val="Times New Roman"/>
      <family val="1"/>
    </font>
    <font>
      <sz val="11"/>
      <name val="Arial"/>
      <family val="2"/>
    </font>
    <font>
      <b/>
      <sz val="10"/>
      <name val="Times New Roman"/>
      <family val="1"/>
    </font>
    <font>
      <b/>
      <i/>
      <sz val="10"/>
      <name val="Times New Roman"/>
      <family val="1"/>
    </font>
    <font>
      <i/>
      <sz val="10"/>
      <name val="Times New Roman"/>
      <family val="1"/>
    </font>
    <font>
      <b/>
      <i/>
      <sz val="11"/>
      <name val="Times New Roman"/>
      <family val="1"/>
    </font>
    <font>
      <i/>
      <sz val="9"/>
      <name val="Times New Roman"/>
      <family val="1"/>
    </font>
    <font>
      <i/>
      <sz val="11"/>
      <name val="Times New Roman"/>
      <family val="1"/>
    </font>
    <font>
      <sz val="16"/>
      <name val="Times New Roman"/>
      <family val="1"/>
    </font>
    <font>
      <i/>
      <sz val="10"/>
      <name val="Arial"/>
      <family val="2"/>
    </font>
    <font>
      <b/>
      <sz val="10"/>
      <name val="Arial"/>
      <family val="2"/>
    </font>
    <font>
      <sz val="14"/>
      <name val="Times New Roman"/>
      <family val="1"/>
    </font>
    <font>
      <b/>
      <sz val="15"/>
      <name val="Times New Roman"/>
      <family val="1"/>
    </font>
    <font>
      <i/>
      <sz val="16"/>
      <name val="Times New Roman"/>
      <family val="1"/>
    </font>
    <font>
      <i/>
      <sz val="14"/>
      <name val="Times New Roman"/>
      <family val="1"/>
      <charset val="163"/>
    </font>
    <font>
      <b/>
      <i/>
      <sz val="14"/>
      <name val="Times New Roman"/>
      <family val="1"/>
    </font>
    <font>
      <sz val="11"/>
      <color indexed="8"/>
      <name val="Calibri"/>
      <family val="2"/>
    </font>
    <font>
      <sz val="10"/>
      <name val="MS Sans Serif"/>
      <family val="2"/>
    </font>
    <font>
      <sz val="9"/>
      <name val="Arial"/>
      <family val="2"/>
      <charset val="163"/>
    </font>
    <font>
      <sz val="11"/>
      <color theme="1"/>
      <name val="Arial"/>
      <family val="2"/>
    </font>
    <font>
      <sz val="10"/>
      <name val=".VnTime"/>
      <family val="2"/>
    </font>
    <font>
      <sz val="12"/>
      <name val=".VnTime"/>
      <family val="2"/>
    </font>
    <font>
      <b/>
      <sz val="16"/>
      <name val="Times New Roman"/>
      <family val="1"/>
      <charset val="163"/>
    </font>
    <font>
      <b/>
      <sz val="17"/>
      <name val="Times New Roman"/>
      <family val="1"/>
    </font>
    <font>
      <i/>
      <sz val="17"/>
      <name val="Times New Roman"/>
      <family val="1"/>
    </font>
    <font>
      <b/>
      <sz val="18"/>
      <name val="Times New Roman"/>
      <family val="1"/>
    </font>
    <font>
      <sz val="18"/>
      <name val="Times New Roman"/>
      <family val="1"/>
    </font>
    <font>
      <sz val="14"/>
      <name val="Times New Roman"/>
      <family val="1"/>
      <charset val="163"/>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29">
    <xf numFmtId="0" fontId="0" fillId="0" borderId="0"/>
    <xf numFmtId="43" fontId="2" fillId="0" borderId="0" applyFont="0" applyFill="0" applyBorder="0" applyAlignment="0" applyProtection="0"/>
    <xf numFmtId="3" fontId="5" fillId="0" borderId="0">
      <alignment vertical="center" wrapText="1"/>
    </xf>
    <xf numFmtId="0" fontId="11" fillId="0" borderId="0"/>
    <xf numFmtId="3" fontId="5" fillId="0" borderId="0">
      <alignment vertical="center" wrapText="1"/>
    </xf>
    <xf numFmtId="0" fontId="16" fillId="0" borderId="0"/>
    <xf numFmtId="3" fontId="5" fillId="0" borderId="0">
      <alignment vertical="center" wrapText="1"/>
    </xf>
    <xf numFmtId="9" fontId="2" fillId="0" borderId="0" applyFont="0" applyFill="0" applyBorder="0" applyAlignment="0" applyProtection="0"/>
    <xf numFmtId="3" fontId="2" fillId="0" borderId="0">
      <alignment vertical="center" wrapText="1"/>
    </xf>
    <xf numFmtId="1" fontId="2" fillId="0" borderId="0">
      <alignment vertical="center" wrapText="1"/>
    </xf>
    <xf numFmtId="0" fontId="11" fillId="0" borderId="0"/>
    <xf numFmtId="0" fontId="1" fillId="0" borderId="0"/>
    <xf numFmtId="43" fontId="1" fillId="0" borderId="0" applyFont="0" applyFill="0" applyBorder="0" applyAlignment="0" applyProtection="0"/>
    <xf numFmtId="0" fontId="2" fillId="0" borderId="0"/>
    <xf numFmtId="43" fontId="31" fillId="0" borderId="0" applyFont="0" applyFill="0" applyBorder="0" applyAlignment="0" applyProtection="0"/>
    <xf numFmtId="43" fontId="2" fillId="0" borderId="0" applyFont="0" applyFill="0" applyBorder="0" applyAlignment="0" applyProtection="0"/>
    <xf numFmtId="0" fontId="32" fillId="0" borderId="0"/>
    <xf numFmtId="43" fontId="11"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0" fontId="33" fillId="0" borderId="0"/>
    <xf numFmtId="0" fontId="11" fillId="0" borderId="0"/>
    <xf numFmtId="43" fontId="31" fillId="0" borderId="0" applyFont="0" applyFill="0" applyBorder="0" applyAlignment="0" applyProtection="0"/>
    <xf numFmtId="43" fontId="31" fillId="0" borderId="0" applyFont="0" applyFill="0" applyBorder="0" applyAlignment="0" applyProtection="0"/>
    <xf numFmtId="0" fontId="34" fillId="0" borderId="0"/>
    <xf numFmtId="0" fontId="31" fillId="0" borderId="0"/>
    <xf numFmtId="0" fontId="35" fillId="0" borderId="0"/>
    <xf numFmtId="0" fontId="36" fillId="0" borderId="0"/>
    <xf numFmtId="165" fontId="2" fillId="0" borderId="0" applyFont="0" applyFill="0" applyBorder="0" applyAlignment="0" applyProtection="0"/>
  </cellStyleXfs>
  <cellXfs count="352">
    <xf numFmtId="0" fontId="0" fillId="0" borderId="0" xfId="0"/>
    <xf numFmtId="3" fontId="5" fillId="0" borderId="0" xfId="6">
      <alignment vertical="center" wrapText="1"/>
    </xf>
    <xf numFmtId="3" fontId="5" fillId="0" borderId="0" xfId="2">
      <alignment vertical="center" wrapText="1"/>
    </xf>
    <xf numFmtId="3" fontId="8" fillId="0" borderId="1" xfId="2" applyFont="1" applyBorder="1" applyAlignment="1">
      <alignment horizontal="center" vertical="center" wrapText="1"/>
    </xf>
    <xf numFmtId="3" fontId="8" fillId="0" borderId="0" xfId="2" applyFont="1">
      <alignment vertical="center" wrapText="1"/>
    </xf>
    <xf numFmtId="3" fontId="9" fillId="0" borderId="0" xfId="2" applyFont="1" applyFill="1" applyAlignment="1">
      <alignment wrapText="1"/>
    </xf>
    <xf numFmtId="3" fontId="8" fillId="0" borderId="0" xfId="2" applyFont="1" applyFill="1" applyAlignment="1">
      <alignment wrapText="1"/>
    </xf>
    <xf numFmtId="3" fontId="5" fillId="0" borderId="0" xfId="2" applyAlignment="1">
      <alignment horizontal="center" vertical="center" wrapText="1"/>
    </xf>
    <xf numFmtId="3" fontId="5" fillId="2" borderId="0" xfId="2" applyFill="1">
      <alignment vertical="center" wrapText="1"/>
    </xf>
    <xf numFmtId="3" fontId="5" fillId="2" borderId="0" xfId="2" applyFont="1" applyFill="1">
      <alignment vertical="center" wrapText="1"/>
    </xf>
    <xf numFmtId="3" fontId="9" fillId="2" borderId="2" xfId="2" applyFont="1" applyFill="1" applyBorder="1">
      <alignment vertical="center" wrapText="1"/>
    </xf>
    <xf numFmtId="3" fontId="5" fillId="0" borderId="0" xfId="4">
      <alignment vertical="center" wrapText="1"/>
    </xf>
    <xf numFmtId="4" fontId="5" fillId="0" borderId="0" xfId="4" applyNumberFormat="1">
      <alignment vertical="center" wrapText="1"/>
    </xf>
    <xf numFmtId="3" fontId="5" fillId="0" borderId="0" xfId="4" applyNumberFormat="1">
      <alignment vertical="center" wrapText="1"/>
    </xf>
    <xf numFmtId="3" fontId="13" fillId="0" borderId="0" xfId="4" applyFont="1">
      <alignment vertical="center" wrapText="1"/>
    </xf>
    <xf numFmtId="3" fontId="5" fillId="0" borderId="0" xfId="4" applyAlignment="1">
      <alignment horizontal="center" vertical="center" wrapText="1"/>
    </xf>
    <xf numFmtId="3" fontId="5" fillId="0" borderId="3" xfId="4" applyFill="1" applyBorder="1">
      <alignment vertical="center" wrapText="1"/>
    </xf>
    <xf numFmtId="3" fontId="5" fillId="0" borderId="3" xfId="4" applyNumberFormat="1" applyFill="1" applyBorder="1">
      <alignment vertical="center" wrapText="1"/>
    </xf>
    <xf numFmtId="3" fontId="5" fillId="2" borderId="0" xfId="4" applyFill="1">
      <alignment vertical="center" wrapText="1"/>
    </xf>
    <xf numFmtId="4" fontId="5" fillId="2" borderId="0" xfId="4" applyNumberFormat="1" applyFill="1">
      <alignment vertical="center" wrapText="1"/>
    </xf>
    <xf numFmtId="3" fontId="5" fillId="2" borderId="0" xfId="4" applyNumberFormat="1" applyFill="1">
      <alignment vertical="center" wrapText="1"/>
    </xf>
    <xf numFmtId="0" fontId="15" fillId="0" borderId="0" xfId="0" applyFont="1" applyFill="1"/>
    <xf numFmtId="0" fontId="15" fillId="0" borderId="0" xfId="0" applyFont="1" applyFill="1" applyAlignment="1">
      <alignment horizontal="center"/>
    </xf>
    <xf numFmtId="0" fontId="15" fillId="0" borderId="0" xfId="0" applyFont="1" applyFill="1" applyAlignment="1">
      <alignment wrapText="1"/>
    </xf>
    <xf numFmtId="164" fontId="17" fillId="0" borderId="0" xfId="1" applyNumberFormat="1" applyFont="1" applyFill="1" applyBorder="1" applyAlignment="1">
      <alignment horizontal="center"/>
    </xf>
    <xf numFmtId="164" fontId="17" fillId="0" borderId="0" xfId="1" applyNumberFormat="1" applyFont="1" applyFill="1" applyBorder="1"/>
    <xf numFmtId="49" fontId="9" fillId="0" borderId="1" xfId="1" applyNumberFormat="1" applyFont="1" applyFill="1" applyBorder="1" applyAlignment="1">
      <alignment horizontal="center" wrapText="1"/>
    </xf>
    <xf numFmtId="164" fontId="9" fillId="0" borderId="1" xfId="1" applyNumberFormat="1" applyFont="1" applyFill="1" applyBorder="1" applyAlignment="1">
      <alignment wrapText="1"/>
    </xf>
    <xf numFmtId="49" fontId="22" fillId="0" borderId="1" xfId="1" applyNumberFormat="1" applyFont="1" applyFill="1" applyBorder="1" applyAlignment="1">
      <alignment horizontal="center" wrapText="1"/>
    </xf>
    <xf numFmtId="164" fontId="22" fillId="0" borderId="1" xfId="1" applyNumberFormat="1" applyFont="1" applyFill="1" applyBorder="1" applyAlignment="1">
      <alignment wrapText="1"/>
    </xf>
    <xf numFmtId="49" fontId="8" fillId="0" borderId="1" xfId="1" applyNumberFormat="1" applyFont="1" applyFill="1" applyBorder="1" applyAlignment="1">
      <alignment horizontal="center" wrapText="1"/>
    </xf>
    <xf numFmtId="164" fontId="8" fillId="0" borderId="1" xfId="1" applyNumberFormat="1" applyFont="1" applyFill="1" applyBorder="1" applyAlignment="1">
      <alignment horizontal="center" wrapText="1"/>
    </xf>
    <xf numFmtId="0" fontId="15" fillId="0" borderId="0" xfId="0" applyFont="1" applyFill="1" applyAlignment="1">
      <alignment horizontal="center" vertical="center" wrapText="1"/>
    </xf>
    <xf numFmtId="0" fontId="15" fillId="0" borderId="0" xfId="0" applyFont="1" applyFill="1" applyAlignment="1">
      <alignment vertical="center" wrapText="1"/>
    </xf>
    <xf numFmtId="3" fontId="5" fillId="0" borderId="0" xfId="4" applyAlignment="1">
      <alignment wrapText="1"/>
    </xf>
    <xf numFmtId="4" fontId="5" fillId="0" borderId="0" xfId="4" applyNumberFormat="1" applyAlignment="1">
      <alignment wrapText="1"/>
    </xf>
    <xf numFmtId="3" fontId="5" fillId="0" borderId="0" xfId="4" applyNumberFormat="1" applyAlignment="1">
      <alignment wrapText="1"/>
    </xf>
    <xf numFmtId="3" fontId="13" fillId="0" borderId="1" xfId="4" applyFont="1" applyBorder="1" applyAlignment="1">
      <alignment wrapText="1"/>
    </xf>
    <xf numFmtId="3" fontId="13" fillId="0" borderId="1" xfId="4" applyNumberFormat="1" applyFont="1" applyBorder="1" applyAlignment="1">
      <alignment wrapText="1"/>
    </xf>
    <xf numFmtId="3" fontId="13" fillId="0" borderId="0" xfId="4" applyFont="1" applyAlignment="1">
      <alignment wrapText="1"/>
    </xf>
    <xf numFmtId="3" fontId="5" fillId="0" borderId="1" xfId="4" applyBorder="1" applyAlignment="1">
      <alignment horizontal="center" wrapText="1"/>
    </xf>
    <xf numFmtId="3" fontId="5" fillId="0" borderId="1" xfId="4" applyBorder="1" applyAlignment="1">
      <alignment horizontal="left" wrapText="1"/>
    </xf>
    <xf numFmtId="3" fontId="5" fillId="0" borderId="1" xfId="4" applyBorder="1" applyAlignment="1">
      <alignment wrapText="1"/>
    </xf>
    <xf numFmtId="3" fontId="5" fillId="0" borderId="1" xfId="4" applyNumberFormat="1" applyBorder="1" applyAlignment="1">
      <alignment wrapText="1"/>
    </xf>
    <xf numFmtId="3" fontId="4" fillId="0" borderId="0" xfId="4" applyFont="1">
      <alignment vertical="center" wrapText="1"/>
    </xf>
    <xf numFmtId="4" fontId="13" fillId="0" borderId="1" xfId="4" applyNumberFormat="1" applyFont="1" applyBorder="1" applyAlignment="1">
      <alignment horizontal="center" vertical="center" wrapText="1"/>
    </xf>
    <xf numFmtId="3" fontId="9" fillId="3" borderId="1" xfId="0" applyNumberFormat="1" applyFont="1" applyFill="1" applyBorder="1"/>
    <xf numFmtId="3" fontId="8" fillId="3" borderId="1" xfId="0" applyNumberFormat="1" applyFont="1" applyFill="1" applyBorder="1"/>
    <xf numFmtId="3" fontId="9" fillId="3" borderId="1" xfId="0" applyNumberFormat="1" applyFont="1" applyFill="1" applyBorder="1" applyAlignment="1">
      <alignment wrapText="1"/>
    </xf>
    <xf numFmtId="3" fontId="2" fillId="0" borderId="1" xfId="4" applyFont="1" applyBorder="1" applyAlignment="1">
      <alignment horizontal="left" wrapText="1"/>
    </xf>
    <xf numFmtId="4" fontId="9" fillId="0" borderId="0" xfId="4" applyNumberFormat="1" applyFont="1">
      <alignment vertical="center" wrapText="1"/>
    </xf>
    <xf numFmtId="3" fontId="13" fillId="0" borderId="1" xfId="4" applyNumberFormat="1" applyFont="1" applyBorder="1" applyAlignment="1">
      <alignment horizontal="center" vertical="center" wrapText="1"/>
    </xf>
    <xf numFmtId="3" fontId="13" fillId="0" borderId="1" xfId="4" applyFont="1" applyBorder="1" applyAlignment="1">
      <alignment horizontal="center" vertical="center" wrapText="1"/>
    </xf>
    <xf numFmtId="0" fontId="2" fillId="0" borderId="0" xfId="0" applyFont="1" applyFill="1"/>
    <xf numFmtId="49" fontId="20" fillId="0" borderId="1" xfId="1" applyNumberFormat="1" applyFont="1" applyFill="1" applyBorder="1" applyAlignment="1">
      <alignment horizontal="center" vertical="center" wrapText="1"/>
    </xf>
    <xf numFmtId="49" fontId="20" fillId="3" borderId="1" xfId="1" applyNumberFormat="1" applyFont="1" applyFill="1" applyBorder="1" applyAlignment="1">
      <alignment horizontal="center" vertical="center" wrapText="1"/>
    </xf>
    <xf numFmtId="49" fontId="22" fillId="0" borderId="0" xfId="0" applyNumberFormat="1" applyFont="1" applyFill="1" applyAlignment="1">
      <alignment horizontal="center" vertical="center" wrapText="1"/>
    </xf>
    <xf numFmtId="164" fontId="8" fillId="3" borderId="1" xfId="1" applyNumberFormat="1" applyFont="1" applyFill="1" applyBorder="1" applyAlignment="1">
      <alignment horizontal="right" wrapText="1"/>
    </xf>
    <xf numFmtId="0" fontId="9" fillId="0" borderId="0" xfId="0" applyFont="1" applyFill="1" applyAlignment="1">
      <alignment horizontal="center" wrapText="1"/>
    </xf>
    <xf numFmtId="164" fontId="8" fillId="0" borderId="1" xfId="1" applyNumberFormat="1" applyFont="1" applyFill="1" applyBorder="1" applyAlignment="1">
      <alignment horizontal="left" wrapText="1"/>
    </xf>
    <xf numFmtId="3" fontId="8" fillId="3" borderId="1" xfId="1" applyNumberFormat="1" applyFont="1" applyFill="1" applyBorder="1" applyAlignment="1">
      <alignment horizontal="right" wrapText="1"/>
    </xf>
    <xf numFmtId="0" fontId="9" fillId="0" borderId="0" xfId="0" applyFont="1" applyFill="1" applyAlignment="1">
      <alignment wrapText="1"/>
    </xf>
    <xf numFmtId="164" fontId="8" fillId="0" borderId="1" xfId="1" applyNumberFormat="1" applyFont="1" applyFill="1" applyBorder="1" applyAlignment="1">
      <alignment wrapText="1"/>
    </xf>
    <xf numFmtId="164" fontId="9" fillId="3" borderId="1" xfId="1" applyNumberFormat="1" applyFont="1" applyFill="1" applyBorder="1" applyAlignment="1">
      <alignment wrapText="1"/>
    </xf>
    <xf numFmtId="3" fontId="9" fillId="3" borderId="1" xfId="1" applyNumberFormat="1" applyFont="1" applyFill="1" applyBorder="1" applyAlignment="1">
      <alignment horizontal="right" wrapText="1"/>
    </xf>
    <xf numFmtId="3" fontId="22" fillId="3" borderId="1" xfId="1" applyNumberFormat="1" applyFont="1" applyFill="1" applyBorder="1" applyAlignment="1">
      <alignment horizontal="right" wrapText="1"/>
    </xf>
    <xf numFmtId="0" fontId="22" fillId="0" borderId="0" xfId="0" applyFont="1" applyFill="1" applyAlignment="1">
      <alignment wrapText="1"/>
    </xf>
    <xf numFmtId="164" fontId="9" fillId="0" borderId="1" xfId="1" applyNumberFormat="1" applyFont="1" applyBorder="1" applyAlignment="1">
      <alignment horizontal="justify" wrapText="1"/>
    </xf>
    <xf numFmtId="0" fontId="8" fillId="0" borderId="0" xfId="0" applyFont="1" applyFill="1" applyAlignment="1">
      <alignment wrapText="1"/>
    </xf>
    <xf numFmtId="3" fontId="20" fillId="3" borderId="1" xfId="1" applyNumberFormat="1" applyFont="1" applyFill="1" applyBorder="1" applyAlignment="1">
      <alignment horizontal="right" wrapText="1"/>
    </xf>
    <xf numFmtId="164" fontId="9" fillId="0" borderId="1" xfId="1" applyNumberFormat="1" applyFont="1" applyBorder="1" applyAlignment="1">
      <alignment wrapText="1"/>
    </xf>
    <xf numFmtId="164" fontId="22" fillId="0" borderId="1" xfId="1" applyNumberFormat="1" applyFont="1" applyBorder="1" applyAlignment="1">
      <alignment wrapText="1"/>
    </xf>
    <xf numFmtId="164" fontId="2" fillId="0" borderId="0" xfId="1" applyNumberFormat="1" applyFont="1" applyBorder="1"/>
    <xf numFmtId="164" fontId="17" fillId="3" borderId="0" xfId="1" applyNumberFormat="1" applyFont="1" applyFill="1" applyBorder="1"/>
    <xf numFmtId="164" fontId="17" fillId="3" borderId="0" xfId="1" applyNumberFormat="1" applyFont="1" applyFill="1" applyBorder="1" applyAlignment="1">
      <alignment horizontal="right"/>
    </xf>
    <xf numFmtId="164" fontId="17" fillId="3" borderId="0" xfId="1" applyNumberFormat="1" applyFont="1" applyFill="1"/>
    <xf numFmtId="164" fontId="17" fillId="3" borderId="0" xfId="1" applyNumberFormat="1" applyFont="1" applyFill="1" applyAlignment="1">
      <alignment horizontal="right"/>
    </xf>
    <xf numFmtId="0" fontId="15" fillId="3" borderId="0" xfId="0" applyFont="1" applyFill="1"/>
    <xf numFmtId="0" fontId="15" fillId="3" borderId="0" xfId="0" applyFont="1" applyFill="1" applyAlignment="1">
      <alignment horizontal="right"/>
    </xf>
    <xf numFmtId="164" fontId="13" fillId="3" borderId="0" xfId="1" applyNumberFormat="1" applyFont="1" applyFill="1"/>
    <xf numFmtId="164" fontId="13" fillId="3" borderId="0" xfId="1" applyNumberFormat="1" applyFont="1" applyFill="1" applyAlignment="1">
      <alignment vertical="center" wrapText="1"/>
    </xf>
    <xf numFmtId="49" fontId="15" fillId="3" borderId="0" xfId="1" applyNumberFormat="1" applyFont="1" applyFill="1" applyBorder="1" applyAlignment="1">
      <alignment wrapText="1"/>
    </xf>
    <xf numFmtId="164" fontId="15" fillId="3" borderId="0" xfId="1" applyNumberFormat="1" applyFont="1" applyFill="1" applyBorder="1" applyAlignment="1">
      <alignment wrapText="1"/>
    </xf>
    <xf numFmtId="164" fontId="15" fillId="3" borderId="0" xfId="1" applyNumberFormat="1" applyFont="1" applyFill="1" applyAlignment="1">
      <alignment wrapText="1"/>
    </xf>
    <xf numFmtId="164" fontId="8" fillId="3" borderId="0" xfId="1" applyNumberFormat="1" applyFont="1" applyFill="1" applyAlignment="1">
      <alignment horizontal="center" vertical="center" wrapText="1"/>
    </xf>
    <xf numFmtId="164" fontId="21" fillId="3" borderId="0" xfId="1" applyNumberFormat="1" applyFont="1" applyFill="1" applyAlignment="1">
      <alignment vertical="center" wrapText="1"/>
    </xf>
    <xf numFmtId="49" fontId="2" fillId="3" borderId="1" xfId="1" applyNumberFormat="1" applyFont="1" applyFill="1" applyBorder="1" applyAlignment="1">
      <alignment horizontal="center" wrapText="1"/>
    </xf>
    <xf numFmtId="164" fontId="2" fillId="3" borderId="1" xfId="1" applyNumberFormat="1" applyFont="1" applyFill="1" applyBorder="1" applyAlignment="1">
      <alignment wrapText="1"/>
    </xf>
    <xf numFmtId="3" fontId="2" fillId="3" borderId="1" xfId="1" applyNumberFormat="1" applyFont="1" applyFill="1" applyBorder="1" applyAlignment="1">
      <alignment horizontal="right" wrapText="1"/>
    </xf>
    <xf numFmtId="164" fontId="2" fillId="3" borderId="0" xfId="1" applyNumberFormat="1" applyFont="1" applyFill="1" applyAlignment="1">
      <alignment wrapText="1"/>
    </xf>
    <xf numFmtId="49" fontId="13" fillId="3" borderId="1" xfId="1" applyNumberFormat="1" applyFont="1" applyFill="1" applyBorder="1" applyAlignment="1">
      <alignment horizontal="center" wrapText="1"/>
    </xf>
    <xf numFmtId="164" fontId="13" fillId="3" borderId="1" xfId="1" applyNumberFormat="1" applyFont="1" applyFill="1" applyBorder="1" applyAlignment="1">
      <alignment horizontal="center" wrapText="1"/>
    </xf>
    <xf numFmtId="3" fontId="13" fillId="3" borderId="1" xfId="1" applyNumberFormat="1" applyFont="1" applyFill="1" applyBorder="1" applyAlignment="1">
      <alignment horizontal="right" wrapText="1"/>
    </xf>
    <xf numFmtId="164" fontId="13" fillId="3" borderId="0" xfId="1" applyNumberFormat="1" applyFont="1" applyFill="1" applyAlignment="1">
      <alignment wrapText="1"/>
    </xf>
    <xf numFmtId="49" fontId="7" fillId="3" borderId="1" xfId="1" applyNumberFormat="1" applyFont="1" applyFill="1" applyBorder="1" applyAlignment="1">
      <alignment horizontal="center" wrapText="1"/>
    </xf>
    <xf numFmtId="164" fontId="7" fillId="3" borderId="1" xfId="1" applyNumberFormat="1" applyFont="1" applyFill="1" applyBorder="1" applyAlignment="1">
      <alignment horizontal="left" wrapText="1"/>
    </xf>
    <xf numFmtId="3" fontId="7" fillId="3" borderId="1" xfId="1" applyNumberFormat="1" applyFont="1" applyFill="1" applyBorder="1" applyAlignment="1">
      <alignment horizontal="right" wrapText="1"/>
    </xf>
    <xf numFmtId="164" fontId="7" fillId="3" borderId="0" xfId="1" applyNumberFormat="1" applyFont="1" applyFill="1" applyAlignment="1">
      <alignment wrapText="1"/>
    </xf>
    <xf numFmtId="164" fontId="2" fillId="3" borderId="1" xfId="1" applyNumberFormat="1" applyFont="1" applyFill="1" applyBorder="1" applyAlignment="1">
      <alignment horizontal="left" wrapText="1"/>
    </xf>
    <xf numFmtId="49" fontId="15" fillId="3" borderId="0" xfId="1" applyNumberFormat="1" applyFont="1" applyFill="1"/>
    <xf numFmtId="164" fontId="15" fillId="3" borderId="0" xfId="1" applyNumberFormat="1" applyFont="1" applyFill="1"/>
    <xf numFmtId="3" fontId="9" fillId="0" borderId="1" xfId="2" applyFont="1" applyFill="1" applyBorder="1" applyAlignment="1">
      <alignment horizontal="center" wrapText="1"/>
    </xf>
    <xf numFmtId="3" fontId="9" fillId="0" borderId="1" xfId="2" applyFont="1" applyFill="1" applyBorder="1" applyAlignment="1">
      <alignment horizontal="left" wrapText="1"/>
    </xf>
    <xf numFmtId="0" fontId="11" fillId="3" borderId="0" xfId="0" applyFont="1" applyFill="1"/>
    <xf numFmtId="3" fontId="8" fillId="3" borderId="7" xfId="0" applyNumberFormat="1" applyFont="1" applyFill="1" applyBorder="1"/>
    <xf numFmtId="3" fontId="22" fillId="3" borderId="1" xfId="0" applyNumberFormat="1" applyFont="1" applyFill="1" applyBorder="1"/>
    <xf numFmtId="3" fontId="20" fillId="3" borderId="1" xfId="0" applyNumberFormat="1" applyFont="1" applyFill="1" applyBorder="1"/>
    <xf numFmtId="3" fontId="8" fillId="3" borderId="1" xfId="0" applyNumberFormat="1" applyFont="1" applyFill="1" applyBorder="1" applyAlignment="1">
      <alignment wrapText="1"/>
    </xf>
    <xf numFmtId="3" fontId="9" fillId="3" borderId="1" xfId="0" applyNumberFormat="1" applyFont="1" applyFill="1" applyBorder="1" applyAlignment="1">
      <alignment horizontal="center"/>
    </xf>
    <xf numFmtId="0" fontId="11" fillId="3" borderId="0" xfId="0" applyFont="1" applyFill="1" applyBorder="1" applyAlignment="1">
      <alignment wrapText="1"/>
    </xf>
    <xf numFmtId="0" fontId="11" fillId="3" borderId="0" xfId="0" applyFont="1" applyFill="1" applyBorder="1"/>
    <xf numFmtId="3" fontId="9" fillId="3" borderId="1" xfId="0" applyNumberFormat="1" applyFont="1" applyFill="1" applyBorder="1" applyAlignment="1">
      <alignment horizontal="left" wrapText="1"/>
    </xf>
    <xf numFmtId="3" fontId="9" fillId="3" borderId="1" xfId="0" applyNumberFormat="1" applyFont="1" applyFill="1" applyBorder="1" applyAlignment="1">
      <alignment horizontal="right" wrapText="1"/>
    </xf>
    <xf numFmtId="3" fontId="22" fillId="3" borderId="1" xfId="0" applyNumberFormat="1" applyFont="1" applyFill="1" applyBorder="1" applyAlignment="1">
      <alignment horizontal="right" wrapText="1"/>
    </xf>
    <xf numFmtId="0" fontId="9" fillId="3" borderId="1" xfId="0" applyFont="1" applyFill="1" applyBorder="1" applyAlignment="1">
      <alignment horizontal="left" wrapText="1"/>
    </xf>
    <xf numFmtId="3" fontId="22" fillId="3" borderId="1" xfId="0" applyNumberFormat="1" applyFont="1" applyFill="1" applyBorder="1" applyAlignment="1">
      <alignment wrapText="1"/>
    </xf>
    <xf numFmtId="3" fontId="11" fillId="3" borderId="0" xfId="0" applyNumberFormat="1" applyFont="1" applyFill="1" applyBorder="1"/>
    <xf numFmtId="0" fontId="12" fillId="3" borderId="0" xfId="0" applyFont="1" applyFill="1" applyAlignment="1">
      <alignment horizontal="center" wrapText="1"/>
    </xf>
    <xf numFmtId="0" fontId="12" fillId="3" borderId="0" xfId="0" applyFont="1" applyFill="1" applyAlignment="1">
      <alignment horizontal="center"/>
    </xf>
    <xf numFmtId="3" fontId="8" fillId="3" borderId="1" xfId="0" applyNumberFormat="1" applyFont="1" applyFill="1" applyBorder="1" applyAlignment="1">
      <alignment horizontal="center"/>
    </xf>
    <xf numFmtId="3" fontId="8" fillId="3" borderId="7" xfId="0" applyNumberFormat="1" applyFont="1" applyFill="1" applyBorder="1" applyAlignment="1">
      <alignment horizontal="center"/>
    </xf>
    <xf numFmtId="3" fontId="8" fillId="3" borderId="7" xfId="0" applyNumberFormat="1" applyFont="1" applyFill="1" applyBorder="1" applyAlignment="1">
      <alignment wrapText="1"/>
    </xf>
    <xf numFmtId="3" fontId="22" fillId="3" borderId="1" xfId="0" applyNumberFormat="1" applyFont="1" applyFill="1" applyBorder="1" applyAlignment="1">
      <alignment horizontal="center"/>
    </xf>
    <xf numFmtId="0" fontId="24" fillId="3" borderId="0" xfId="0" applyFont="1" applyFill="1" applyBorder="1"/>
    <xf numFmtId="0" fontId="25" fillId="3" borderId="0" xfId="0" applyFont="1" applyFill="1" applyBorder="1"/>
    <xf numFmtId="3" fontId="20" fillId="3" borderId="1" xfId="0" applyNumberFormat="1" applyFont="1" applyFill="1" applyBorder="1" applyAlignment="1">
      <alignment wrapText="1"/>
    </xf>
    <xf numFmtId="3" fontId="9" fillId="3"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wrapText="1"/>
    </xf>
    <xf numFmtId="4" fontId="9" fillId="3" borderId="1" xfId="0" applyNumberFormat="1" applyFont="1" applyFill="1" applyBorder="1" applyAlignment="1">
      <alignment horizontal="center"/>
    </xf>
    <xf numFmtId="0" fontId="8" fillId="3" borderId="1" xfId="0" applyNumberFormat="1" applyFont="1" applyFill="1" applyBorder="1" applyAlignment="1">
      <alignment horizontal="center"/>
    </xf>
    <xf numFmtId="0" fontId="9" fillId="3" borderId="1" xfId="0" applyNumberFormat="1" applyFont="1" applyFill="1" applyBorder="1" applyAlignment="1">
      <alignment horizontal="center"/>
    </xf>
    <xf numFmtId="3" fontId="9" fillId="3" borderId="1" xfId="0" applyNumberFormat="1" applyFont="1" applyFill="1" applyBorder="1" applyAlignment="1">
      <alignment horizontal="left" wrapText="1" shrinkToFit="1"/>
    </xf>
    <xf numFmtId="0" fontId="15" fillId="3" borderId="0" xfId="0" applyFont="1" applyFill="1" applyBorder="1" applyAlignment="1">
      <alignment wrapText="1"/>
    </xf>
    <xf numFmtId="0" fontId="15" fillId="3" borderId="0" xfId="0" applyFont="1" applyFill="1" applyBorder="1"/>
    <xf numFmtId="4" fontId="9" fillId="3" borderId="1" xfId="0" applyNumberFormat="1" applyFont="1" applyFill="1" applyBorder="1" applyAlignment="1">
      <alignment horizontal="center" wrapText="1"/>
    </xf>
    <xf numFmtId="4" fontId="22" fillId="3" borderId="1" xfId="0" applyNumberFormat="1" applyFont="1" applyFill="1" applyBorder="1" applyAlignment="1">
      <alignment horizontal="center"/>
    </xf>
    <xf numFmtId="0" fontId="19" fillId="3" borderId="0" xfId="0" applyFont="1" applyFill="1" applyBorder="1"/>
    <xf numFmtId="0" fontId="9" fillId="3" borderId="1" xfId="0" applyFont="1" applyFill="1" applyBorder="1" applyAlignment="1">
      <alignment horizontal="justify" wrapText="1"/>
    </xf>
    <xf numFmtId="3" fontId="2" fillId="3" borderId="0" xfId="0" applyNumberFormat="1" applyFont="1" applyFill="1" applyBorder="1" applyAlignment="1">
      <alignment horizontal="center"/>
    </xf>
    <xf numFmtId="0" fontId="15" fillId="3" borderId="0" xfId="0" applyFont="1" applyFill="1" applyAlignment="1">
      <alignment horizontal="center"/>
    </xf>
    <xf numFmtId="164" fontId="15" fillId="0" borderId="0" xfId="1" applyNumberFormat="1" applyFont="1" applyFill="1" applyBorder="1" applyAlignment="1">
      <alignment horizontal="center" wrapText="1"/>
    </xf>
    <xf numFmtId="164" fontId="18" fillId="0" borderId="0" xfId="1" applyNumberFormat="1" applyFont="1" applyFill="1" applyBorder="1" applyAlignment="1">
      <alignment wrapText="1"/>
    </xf>
    <xf numFmtId="3" fontId="8" fillId="3" borderId="1" xfId="0" applyNumberFormat="1" applyFont="1" applyFill="1" applyBorder="1" applyAlignment="1">
      <alignment horizontal="center" wrapText="1"/>
    </xf>
    <xf numFmtId="3" fontId="8" fillId="3" borderId="1" xfId="0" applyNumberFormat="1" applyFont="1" applyFill="1" applyBorder="1" applyAlignment="1">
      <alignment horizontal="right" wrapText="1"/>
    </xf>
    <xf numFmtId="3" fontId="15" fillId="3" borderId="0" xfId="0" applyNumberFormat="1" applyFont="1" applyFill="1" applyBorder="1" applyAlignment="1">
      <alignment horizontal="center"/>
    </xf>
    <xf numFmtId="3" fontId="12" fillId="3" borderId="0" xfId="0" applyNumberFormat="1" applyFont="1" applyFill="1" applyAlignment="1">
      <alignment horizontal="center" vertical="center" wrapText="1"/>
    </xf>
    <xf numFmtId="3" fontId="17" fillId="0" borderId="1" xfId="2" applyFont="1" applyFill="1" applyBorder="1">
      <alignment vertical="center" wrapText="1"/>
    </xf>
    <xf numFmtId="3" fontId="2" fillId="0" borderId="1" xfId="2" applyNumberFormat="1" applyFont="1" applyFill="1" applyBorder="1" applyAlignment="1">
      <alignment vertical="center" wrapText="1"/>
    </xf>
    <xf numFmtId="3" fontId="2" fillId="0" borderId="1" xfId="10" applyNumberFormat="1" applyFont="1" applyBorder="1"/>
    <xf numFmtId="3" fontId="2" fillId="0" borderId="1" xfId="10" applyNumberFormat="1" applyFont="1" applyBorder="1" applyAlignment="1">
      <alignment vertical="center" wrapText="1"/>
    </xf>
    <xf numFmtId="49" fontId="26" fillId="0" borderId="0" xfId="3" applyNumberFormat="1" applyFont="1" applyFill="1" applyAlignment="1">
      <alignment horizontal="center" wrapText="1"/>
    </xf>
    <xf numFmtId="1" fontId="26" fillId="0" borderId="0" xfId="3" applyNumberFormat="1" applyFont="1" applyFill="1" applyBorder="1" applyAlignment="1">
      <alignment horizontal="left" wrapText="1"/>
    </xf>
    <xf numFmtId="0" fontId="0" fillId="0" borderId="0" xfId="0" applyAlignment="1">
      <alignment wrapText="1"/>
    </xf>
    <xf numFmtId="49" fontId="6" fillId="0" borderId="1" xfId="3" applyNumberFormat="1" applyFont="1" applyFill="1" applyBorder="1" applyAlignment="1">
      <alignment horizontal="center" wrapText="1"/>
    </xf>
    <xf numFmtId="3" fontId="6" fillId="0" borderId="1" xfId="3" applyNumberFormat="1" applyFont="1" applyFill="1" applyBorder="1" applyAlignment="1">
      <alignment horizontal="center" wrapText="1"/>
    </xf>
    <xf numFmtId="164" fontId="6" fillId="0" borderId="1" xfId="1" applyNumberFormat="1" applyFont="1" applyFill="1" applyBorder="1" applyAlignment="1">
      <alignment horizontal="center" wrapText="1"/>
    </xf>
    <xf numFmtId="0" fontId="6" fillId="0" borderId="1" xfId="3" applyNumberFormat="1" applyFont="1" applyFill="1" applyBorder="1" applyAlignment="1">
      <alignment horizontal="center" wrapText="1"/>
    </xf>
    <xf numFmtId="164" fontId="6" fillId="0" borderId="1" xfId="12" applyNumberFormat="1" applyFont="1" applyFill="1" applyBorder="1" applyAlignment="1">
      <alignment horizontal="right" wrapText="1"/>
    </xf>
    <xf numFmtId="3" fontId="6" fillId="0" borderId="1" xfId="3" applyNumberFormat="1" applyFont="1" applyFill="1" applyBorder="1" applyAlignment="1">
      <alignment horizontal="left" wrapText="1"/>
    </xf>
    <xf numFmtId="3" fontId="26" fillId="0" borderId="1" xfId="0" applyNumberFormat="1" applyFont="1" applyFill="1" applyBorder="1" applyAlignment="1">
      <alignment horizontal="center" wrapText="1"/>
    </xf>
    <xf numFmtId="1" fontId="26" fillId="0" borderId="1" xfId="3" applyNumberFormat="1" applyFont="1" applyFill="1" applyBorder="1" applyAlignment="1">
      <alignment horizontal="left" wrapText="1"/>
    </xf>
    <xf numFmtId="164" fontId="26" fillId="0" borderId="1" xfId="12" applyNumberFormat="1" applyFont="1" applyFill="1" applyBorder="1" applyAlignment="1">
      <alignment horizontal="center" wrapText="1"/>
    </xf>
    <xf numFmtId="1" fontId="26" fillId="0" borderId="1" xfId="3" applyNumberFormat="1" applyFont="1" applyFill="1" applyBorder="1" applyAlignment="1">
      <alignment horizontal="center" wrapText="1"/>
    </xf>
    <xf numFmtId="164" fontId="26" fillId="0" borderId="1" xfId="12" applyNumberFormat="1" applyFont="1" applyFill="1" applyBorder="1" applyAlignment="1">
      <alignment horizontal="right" wrapText="1"/>
    </xf>
    <xf numFmtId="164" fontId="30" fillId="0" borderId="1" xfId="12" applyNumberFormat="1" applyFont="1" applyFill="1" applyBorder="1" applyAlignment="1">
      <alignment horizontal="right" wrapText="1"/>
    </xf>
    <xf numFmtId="0" fontId="26" fillId="0" borderId="1" xfId="13" applyFont="1" applyFill="1" applyBorder="1" applyAlignment="1">
      <alignment horizontal="center" wrapText="1"/>
    </xf>
    <xf numFmtId="49" fontId="6" fillId="0" borderId="1" xfId="3" quotePrefix="1" applyNumberFormat="1" applyFont="1" applyFill="1" applyBorder="1" applyAlignment="1">
      <alignment horizontal="center" wrapText="1"/>
    </xf>
    <xf numFmtId="0" fontId="26" fillId="0" borderId="1" xfId="3" applyNumberFormat="1" applyFont="1" applyFill="1" applyBorder="1" applyAlignment="1">
      <alignment horizontal="center" wrapText="1"/>
    </xf>
    <xf numFmtId="2" fontId="26" fillId="0" borderId="1" xfId="0" applyNumberFormat="1" applyFont="1" applyFill="1" applyBorder="1" applyAlignment="1">
      <alignment horizontal="left" wrapText="1"/>
    </xf>
    <xf numFmtId="2" fontId="26" fillId="0" borderId="1" xfId="0" applyNumberFormat="1" applyFont="1" applyFill="1" applyBorder="1" applyAlignment="1">
      <alignment horizontal="center" wrapText="1"/>
    </xf>
    <xf numFmtId="164" fontId="26" fillId="0" borderId="1" xfId="14" applyNumberFormat="1" applyFont="1" applyFill="1" applyBorder="1" applyAlignment="1">
      <alignment horizontal="center" wrapText="1"/>
    </xf>
    <xf numFmtId="49" fontId="26" fillId="0" borderId="1" xfId="0" applyNumberFormat="1" applyFont="1" applyFill="1" applyBorder="1" applyAlignment="1">
      <alignment horizontal="center" wrapText="1"/>
    </xf>
    <xf numFmtId="164" fontId="26" fillId="0" borderId="1" xfId="15" applyNumberFormat="1" applyFont="1" applyFill="1" applyBorder="1" applyAlignment="1">
      <alignment horizontal="center" wrapText="1"/>
    </xf>
    <xf numFmtId="49" fontId="26" fillId="0" borderId="1" xfId="3" applyNumberFormat="1" applyFont="1" applyFill="1" applyBorder="1" applyAlignment="1">
      <alignment horizontal="left" wrapText="1"/>
    </xf>
    <xf numFmtId="164" fontId="10" fillId="0" borderId="1" xfId="12" applyNumberFormat="1" applyFont="1" applyFill="1" applyBorder="1" applyAlignment="1">
      <alignment horizontal="center" wrapText="1"/>
    </xf>
    <xf numFmtId="164" fontId="6" fillId="0" borderId="1" xfId="15" applyNumberFormat="1" applyFont="1" applyFill="1" applyBorder="1" applyAlignment="1">
      <alignment horizontal="center" wrapText="1"/>
    </xf>
    <xf numFmtId="164" fontId="26" fillId="0" borderId="1" xfId="15" applyNumberFormat="1" applyFont="1" applyFill="1" applyBorder="1" applyAlignment="1">
      <alignment horizontal="left" wrapText="1"/>
    </xf>
    <xf numFmtId="49" fontId="26" fillId="0" borderId="1" xfId="3" quotePrefix="1" applyNumberFormat="1" applyFont="1" applyFill="1" applyBorder="1" applyAlignment="1">
      <alignment horizontal="left" wrapText="1"/>
    </xf>
    <xf numFmtId="0" fontId="26" fillId="0" borderId="1" xfId="16" applyFont="1" applyFill="1" applyBorder="1" applyAlignment="1">
      <alignment horizontal="center" wrapText="1"/>
    </xf>
    <xf numFmtId="0" fontId="26" fillId="0" borderId="1" xfId="13" applyFont="1" applyFill="1" applyBorder="1" applyAlignment="1">
      <alignment horizontal="left" wrapText="1"/>
    </xf>
    <xf numFmtId="164" fontId="26" fillId="0" borderId="1" xfId="17" applyNumberFormat="1" applyFont="1" applyFill="1" applyBorder="1" applyAlignment="1">
      <alignment horizontal="center" wrapText="1"/>
    </xf>
    <xf numFmtId="164" fontId="26" fillId="0" borderId="1" xfId="18" applyNumberFormat="1" applyFont="1" applyFill="1" applyBorder="1" applyAlignment="1">
      <alignment horizontal="center" wrapText="1"/>
    </xf>
    <xf numFmtId="0" fontId="26" fillId="0" borderId="1" xfId="0" applyFont="1" applyFill="1" applyBorder="1" applyAlignment="1">
      <alignment horizontal="center" wrapText="1"/>
    </xf>
    <xf numFmtId="49" fontId="26" fillId="0" borderId="1" xfId="0" applyNumberFormat="1" applyFont="1" applyFill="1" applyBorder="1" applyAlignment="1">
      <alignment horizontal="left" wrapText="1"/>
    </xf>
    <xf numFmtId="164" fontId="10" fillId="0" borderId="1" xfId="12" applyNumberFormat="1" applyFont="1" applyFill="1" applyBorder="1" applyAlignment="1">
      <alignment horizontal="right" wrapText="1"/>
    </xf>
    <xf numFmtId="3" fontId="26" fillId="0" borderId="1" xfId="3" applyNumberFormat="1" applyFont="1" applyFill="1" applyBorder="1" applyAlignment="1">
      <alignment horizontal="center" wrapText="1"/>
    </xf>
    <xf numFmtId="0" fontId="26" fillId="0" borderId="1" xfId="10" applyFont="1" applyFill="1" applyBorder="1" applyAlignment="1">
      <alignment horizontal="left" wrapText="1"/>
    </xf>
    <xf numFmtId="164" fontId="26" fillId="0" borderId="1" xfId="19" applyNumberFormat="1" applyFont="1" applyFill="1" applyBorder="1" applyAlignment="1">
      <alignment horizontal="center" wrapText="1"/>
    </xf>
    <xf numFmtId="3" fontId="26" fillId="0" borderId="1" xfId="3" quotePrefix="1" applyNumberFormat="1" applyFont="1" applyFill="1" applyBorder="1" applyAlignment="1">
      <alignment horizontal="center" wrapText="1"/>
    </xf>
    <xf numFmtId="0" fontId="26" fillId="0" borderId="1" xfId="20" applyFont="1" applyFill="1" applyBorder="1" applyAlignment="1">
      <alignment horizontal="left" wrapText="1"/>
    </xf>
    <xf numFmtId="49" fontId="26" fillId="0" borderId="1" xfId="21" applyNumberFormat="1" applyFont="1" applyFill="1" applyBorder="1" applyAlignment="1">
      <alignment horizontal="left" wrapText="1"/>
    </xf>
    <xf numFmtId="0" fontId="26" fillId="0" borderId="1" xfId="21" applyFont="1" applyFill="1" applyBorder="1" applyAlignment="1">
      <alignment horizontal="center" wrapText="1"/>
    </xf>
    <xf numFmtId="3" fontId="26" fillId="0" borderId="1" xfId="12" applyNumberFormat="1" applyFont="1" applyFill="1" applyBorder="1" applyAlignment="1">
      <alignment horizontal="center" wrapText="1"/>
    </xf>
    <xf numFmtId="1" fontId="6" fillId="0" borderId="1" xfId="3" applyNumberFormat="1" applyFont="1" applyFill="1" applyBorder="1" applyAlignment="1">
      <alignment horizontal="left" wrapText="1"/>
    </xf>
    <xf numFmtId="164" fontId="6" fillId="0" borderId="1" xfId="12" applyNumberFormat="1" applyFont="1" applyFill="1" applyBorder="1" applyAlignment="1">
      <alignment horizontal="center" wrapText="1"/>
    </xf>
    <xf numFmtId="1" fontId="6" fillId="0" borderId="1" xfId="3" applyNumberFormat="1" applyFont="1" applyFill="1" applyBorder="1" applyAlignment="1">
      <alignment horizontal="center" wrapText="1"/>
    </xf>
    <xf numFmtId="0" fontId="6" fillId="0" borderId="1" xfId="3" quotePrefix="1" applyNumberFormat="1" applyFont="1" applyFill="1" applyBorder="1" applyAlignment="1">
      <alignment horizontal="center" wrapText="1"/>
    </xf>
    <xf numFmtId="0" fontId="26" fillId="0" borderId="1" xfId="0" applyNumberFormat="1" applyFont="1" applyFill="1" applyBorder="1" applyAlignment="1">
      <alignment horizontal="center" wrapText="1"/>
    </xf>
    <xf numFmtId="3" fontId="26" fillId="0" borderId="1" xfId="22" applyNumberFormat="1" applyFont="1" applyFill="1" applyBorder="1" applyAlignment="1">
      <alignment horizontal="left" wrapText="1"/>
    </xf>
    <xf numFmtId="3" fontId="26" fillId="0" borderId="1" xfId="22" applyNumberFormat="1" applyFont="1" applyFill="1" applyBorder="1" applyAlignment="1">
      <alignment horizontal="center" wrapText="1"/>
    </xf>
    <xf numFmtId="3" fontId="26" fillId="0" borderId="1" xfId="22" applyNumberFormat="1" applyFont="1" applyFill="1" applyBorder="1" applyAlignment="1">
      <alignment horizontal="right" wrapText="1"/>
    </xf>
    <xf numFmtId="164" fontId="26" fillId="0" borderId="1" xfId="23" applyNumberFormat="1" applyFont="1" applyFill="1" applyBorder="1" applyAlignment="1">
      <alignment horizontal="center" wrapText="1"/>
    </xf>
    <xf numFmtId="0" fontId="26" fillId="0" borderId="1" xfId="24" applyNumberFormat="1" applyFont="1" applyFill="1" applyBorder="1" applyAlignment="1">
      <alignment horizontal="left" wrapText="1"/>
    </xf>
    <xf numFmtId="164" fontId="26" fillId="0" borderId="1" xfId="22" quotePrefix="1" applyNumberFormat="1" applyFont="1" applyFill="1" applyBorder="1" applyAlignment="1">
      <alignment horizontal="center" wrapText="1"/>
    </xf>
    <xf numFmtId="166" fontId="26" fillId="0" borderId="1" xfId="25" applyNumberFormat="1" applyFont="1" applyFill="1" applyBorder="1" applyAlignment="1">
      <alignment horizontal="center" wrapText="1"/>
    </xf>
    <xf numFmtId="164" fontId="26" fillId="0" borderId="1" xfId="22" applyNumberFormat="1" applyFont="1" applyFill="1" applyBorder="1" applyAlignment="1">
      <alignment horizontal="center" wrapText="1"/>
    </xf>
    <xf numFmtId="0" fontId="26" fillId="0" borderId="1" xfId="24" applyFont="1" applyFill="1" applyBorder="1" applyAlignment="1">
      <alignment horizontal="left" wrapText="1"/>
    </xf>
    <xf numFmtId="3" fontId="26" fillId="0" borderId="1" xfId="3" applyNumberFormat="1" applyFont="1" applyFill="1" applyBorder="1" applyAlignment="1">
      <alignment horizontal="left" wrapText="1"/>
    </xf>
    <xf numFmtId="3" fontId="26" fillId="0" borderId="1" xfId="26" applyNumberFormat="1" applyFont="1" applyFill="1" applyBorder="1" applyAlignment="1">
      <alignment horizontal="left" wrapText="1"/>
    </xf>
    <xf numFmtId="3" fontId="26" fillId="0" borderId="1" xfId="27" applyNumberFormat="1" applyFont="1" applyFill="1" applyBorder="1" applyAlignment="1">
      <alignment horizontal="center" wrapText="1"/>
    </xf>
    <xf numFmtId="1" fontId="6" fillId="0" borderId="1" xfId="3" quotePrefix="1" applyNumberFormat="1" applyFont="1" applyFill="1" applyBorder="1" applyAlignment="1">
      <alignment horizontal="center" wrapText="1"/>
    </xf>
    <xf numFmtId="0" fontId="6" fillId="0" borderId="1" xfId="24" applyNumberFormat="1" applyFont="1" applyFill="1" applyBorder="1" applyAlignment="1">
      <alignment horizontal="left" wrapText="1"/>
    </xf>
    <xf numFmtId="164" fontId="6" fillId="0" borderId="1" xfId="22" quotePrefix="1" applyNumberFormat="1" applyFont="1" applyFill="1" applyBorder="1" applyAlignment="1">
      <alignment horizontal="center" wrapText="1"/>
    </xf>
    <xf numFmtId="166" fontId="6" fillId="0" borderId="1" xfId="25" applyNumberFormat="1" applyFont="1" applyFill="1" applyBorder="1" applyAlignment="1">
      <alignment horizontal="center" wrapText="1"/>
    </xf>
    <xf numFmtId="49" fontId="26" fillId="0" borderId="1" xfId="24" applyNumberFormat="1" applyFont="1" applyFill="1" applyBorder="1" applyAlignment="1">
      <alignment horizontal="left" wrapText="1"/>
    </xf>
    <xf numFmtId="164" fontId="26" fillId="0" borderId="1" xfId="28" quotePrefix="1" applyNumberFormat="1" applyFont="1" applyFill="1" applyBorder="1" applyAlignment="1">
      <alignment horizontal="center" wrapText="1"/>
    </xf>
    <xf numFmtId="49" fontId="26" fillId="0" borderId="1" xfId="12" applyNumberFormat="1" applyFont="1" applyFill="1" applyBorder="1" applyAlignment="1">
      <alignment horizontal="left" wrapText="1"/>
    </xf>
    <xf numFmtId="3" fontId="26" fillId="0" borderId="1" xfId="3" applyNumberFormat="1" applyFont="1" applyFill="1" applyBorder="1" applyAlignment="1">
      <alignment horizontal="right" wrapText="1"/>
    </xf>
    <xf numFmtId="3" fontId="26" fillId="0" borderId="1" xfId="0" applyNumberFormat="1" applyFont="1" applyFill="1" applyBorder="1" applyAlignment="1">
      <alignment horizontal="left" wrapText="1"/>
    </xf>
    <xf numFmtId="49" fontId="26" fillId="0" borderId="1" xfId="0" applyNumberFormat="1" applyFont="1" applyFill="1" applyBorder="1" applyAlignment="1">
      <alignment horizontal="left" wrapText="1" shrinkToFit="1"/>
    </xf>
    <xf numFmtId="3" fontId="6" fillId="0" borderId="1" xfId="0" applyNumberFormat="1" applyFont="1" applyFill="1" applyBorder="1" applyAlignment="1">
      <alignment horizontal="center" wrapText="1"/>
    </xf>
    <xf numFmtId="37" fontId="6" fillId="0" borderId="1" xfId="12" applyNumberFormat="1" applyFont="1" applyFill="1" applyBorder="1" applyAlignment="1">
      <alignment horizontal="right" wrapText="1"/>
    </xf>
    <xf numFmtId="37" fontId="30" fillId="0" borderId="1" xfId="12" applyNumberFormat="1" applyFont="1" applyFill="1" applyBorder="1" applyAlignment="1">
      <alignment horizontal="right" wrapText="1"/>
    </xf>
    <xf numFmtId="37" fontId="26" fillId="0" borderId="1" xfId="12" applyNumberFormat="1" applyFont="1" applyFill="1" applyBorder="1" applyAlignment="1">
      <alignment horizontal="right" wrapText="1"/>
    </xf>
    <xf numFmtId="37" fontId="6" fillId="0" borderId="1" xfId="1" applyNumberFormat="1" applyFont="1" applyFill="1" applyBorder="1" applyAlignment="1">
      <alignment horizontal="center" wrapText="1"/>
    </xf>
    <xf numFmtId="0" fontId="12" fillId="3" borderId="0" xfId="0" applyFont="1" applyFill="1" applyAlignment="1">
      <alignment horizontal="center" vertical="center" wrapText="1"/>
    </xf>
    <xf numFmtId="0" fontId="9" fillId="3" borderId="1" xfId="0" applyFont="1" applyFill="1" applyBorder="1" applyAlignment="1">
      <alignment horizontal="center" vertical="center" wrapText="1"/>
    </xf>
    <xf numFmtId="0" fontId="8" fillId="3" borderId="6" xfId="0" applyFont="1" applyFill="1" applyBorder="1" applyAlignment="1">
      <alignment horizontal="center" vertical="center" wrapText="1"/>
    </xf>
    <xf numFmtId="164" fontId="17" fillId="0" borderId="1" xfId="1" applyNumberFormat="1" applyFont="1" applyFill="1" applyBorder="1" applyAlignment="1">
      <alignment horizontal="center" vertical="center" wrapText="1"/>
    </xf>
    <xf numFmtId="164" fontId="17" fillId="3" borderId="1" xfId="1" applyNumberFormat="1" applyFont="1" applyFill="1" applyBorder="1" applyAlignment="1">
      <alignment horizontal="center" vertical="center" wrapText="1"/>
    </xf>
    <xf numFmtId="164" fontId="8" fillId="3" borderId="1" xfId="1" applyNumberFormat="1" applyFont="1" applyFill="1" applyBorder="1" applyAlignment="1">
      <alignment horizontal="center" vertical="center" wrapText="1"/>
    </xf>
    <xf numFmtId="3" fontId="2" fillId="3" borderId="1" xfId="1" applyNumberFormat="1" applyFont="1" applyFill="1" applyBorder="1" applyAlignment="1">
      <alignment wrapText="1"/>
    </xf>
    <xf numFmtId="164" fontId="2" fillId="3" borderId="1" xfId="1" applyNumberFormat="1" applyFont="1" applyFill="1" applyBorder="1" applyAlignment="1">
      <alignment horizontal="justify" wrapText="1"/>
    </xf>
    <xf numFmtId="3" fontId="4" fillId="0" borderId="0" xfId="0" applyNumberFormat="1" applyFont="1" applyBorder="1" applyAlignment="1">
      <alignment horizontal="center"/>
    </xf>
    <xf numFmtId="164" fontId="6" fillId="0" borderId="0" xfId="1" applyNumberFormat="1" applyFont="1" applyAlignment="1">
      <alignment horizontal="center"/>
    </xf>
    <xf numFmtId="3" fontId="4" fillId="3" borderId="0" xfId="0" applyNumberFormat="1" applyFont="1" applyFill="1" applyBorder="1" applyProtection="1">
      <protection locked="0"/>
    </xf>
    <xf numFmtId="3" fontId="23" fillId="3" borderId="0" xfId="0" applyNumberFormat="1" applyFont="1" applyFill="1" applyBorder="1" applyProtection="1">
      <protection locked="0"/>
    </xf>
    <xf numFmtId="3" fontId="2" fillId="3" borderId="0" xfId="0" applyNumberFormat="1" applyFont="1" applyFill="1" applyBorder="1" applyProtection="1">
      <protection locked="0"/>
    </xf>
    <xf numFmtId="3" fontId="13" fillId="3" borderId="0" xfId="0" applyNumberFormat="1" applyFont="1" applyFill="1" applyAlignment="1" applyProtection="1">
      <alignment wrapText="1"/>
      <protection locked="0"/>
    </xf>
    <xf numFmtId="3" fontId="2" fillId="3" borderId="0" xfId="0" applyNumberFormat="1" applyFont="1" applyFill="1" applyBorder="1" applyAlignment="1" applyProtection="1">
      <alignment wrapText="1"/>
      <protection locked="0"/>
    </xf>
    <xf numFmtId="3" fontId="14" fillId="3" borderId="0" xfId="0" applyNumberFormat="1" applyFont="1" applyFill="1" applyBorder="1" applyProtection="1">
      <protection locked="0"/>
    </xf>
    <xf numFmtId="3" fontId="13" fillId="3" borderId="1" xfId="0" applyNumberFormat="1" applyFont="1" applyFill="1" applyBorder="1" applyAlignment="1" applyProtection="1">
      <alignment horizontal="center" vertical="center" wrapText="1"/>
      <protection locked="0"/>
    </xf>
    <xf numFmtId="0" fontId="14" fillId="3" borderId="1" xfId="0" applyFont="1" applyFill="1" applyBorder="1" applyAlignment="1" applyProtection="1">
      <alignment horizontal="center" vertical="center" wrapText="1"/>
      <protection locked="0"/>
    </xf>
    <xf numFmtId="3" fontId="14" fillId="3" borderId="1" xfId="0" applyNumberFormat="1" applyFont="1" applyFill="1" applyBorder="1" applyAlignment="1" applyProtection="1">
      <alignment horizontal="center" vertical="center" wrapText="1"/>
      <protection locked="0"/>
    </xf>
    <xf numFmtId="3" fontId="13" fillId="3" borderId="1" xfId="0" applyNumberFormat="1" applyFont="1" applyFill="1" applyBorder="1" applyAlignment="1" applyProtection="1">
      <alignment horizontal="left" wrapText="1"/>
      <protection locked="0"/>
    </xf>
    <xf numFmtId="3" fontId="13" fillId="3" borderId="1" xfId="0" applyNumberFormat="1" applyFont="1" applyFill="1" applyBorder="1" applyAlignment="1" applyProtection="1">
      <alignment wrapText="1"/>
      <protection locked="0"/>
    </xf>
    <xf numFmtId="3" fontId="13" fillId="3" borderId="0" xfId="0" applyNumberFormat="1" applyFont="1" applyFill="1" applyBorder="1" applyAlignment="1" applyProtection="1">
      <alignment horizontal="left" wrapText="1"/>
      <protection locked="0"/>
    </xf>
    <xf numFmtId="3" fontId="2" fillId="3" borderId="1" xfId="0" applyNumberFormat="1" applyFont="1" applyFill="1" applyBorder="1" applyAlignment="1" applyProtection="1">
      <alignment horizontal="left" wrapText="1"/>
      <protection locked="0"/>
    </xf>
    <xf numFmtId="3" fontId="2" fillId="3" borderId="1" xfId="0" applyNumberFormat="1" applyFont="1" applyFill="1" applyBorder="1" applyAlignment="1" applyProtection="1">
      <alignment horizontal="right" wrapText="1"/>
      <protection locked="0"/>
    </xf>
    <xf numFmtId="3" fontId="2" fillId="3" borderId="0" xfId="0" applyNumberFormat="1" applyFont="1" applyFill="1" applyBorder="1" applyAlignment="1" applyProtection="1">
      <alignment horizontal="left" wrapText="1"/>
      <protection locked="0"/>
    </xf>
    <xf numFmtId="3" fontId="2" fillId="3" borderId="1" xfId="0" applyNumberFormat="1" applyFont="1" applyFill="1" applyBorder="1" applyAlignment="1" applyProtection="1">
      <alignment wrapText="1"/>
      <protection locked="0"/>
    </xf>
    <xf numFmtId="3" fontId="2" fillId="3" borderId="0" xfId="0" applyNumberFormat="1" applyFont="1" applyFill="1" applyBorder="1" applyAlignment="1" applyProtection="1">
      <alignment horizontal="center" wrapText="1"/>
      <protection locked="0"/>
    </xf>
    <xf numFmtId="3" fontId="7" fillId="3" borderId="1" xfId="0" applyNumberFormat="1" applyFont="1" applyFill="1" applyBorder="1" applyAlignment="1" applyProtection="1">
      <alignment horizontal="left" wrapText="1"/>
      <protection locked="0"/>
    </xf>
    <xf numFmtId="3" fontId="7" fillId="3" borderId="1" xfId="0" applyNumberFormat="1" applyFont="1" applyFill="1" applyBorder="1" applyAlignment="1" applyProtection="1">
      <alignment horizontal="right" wrapText="1"/>
      <protection locked="0"/>
    </xf>
    <xf numFmtId="3" fontId="7" fillId="3" borderId="0" xfId="0" applyNumberFormat="1" applyFont="1" applyFill="1" applyBorder="1" applyAlignment="1" applyProtection="1">
      <alignment horizontal="center" wrapText="1"/>
      <protection locked="0"/>
    </xf>
    <xf numFmtId="3" fontId="2" fillId="3" borderId="1" xfId="0" applyNumberFormat="1" applyFont="1" applyFill="1" applyBorder="1" applyAlignment="1" applyProtection="1">
      <alignment horizontal="center" wrapText="1"/>
      <protection locked="0"/>
    </xf>
    <xf numFmtId="0" fontId="13" fillId="3" borderId="1" xfId="0" applyFont="1" applyFill="1" applyBorder="1" applyAlignment="1" applyProtection="1">
      <alignment horizontal="left" wrapText="1"/>
      <protection locked="0"/>
    </xf>
    <xf numFmtId="0" fontId="13" fillId="3" borderId="0" xfId="0" applyFont="1" applyFill="1" applyAlignment="1" applyProtection="1">
      <alignment wrapText="1"/>
      <protection locked="0"/>
    </xf>
    <xf numFmtId="0" fontId="2" fillId="3" borderId="1" xfId="0" applyFont="1" applyFill="1" applyBorder="1" applyAlignment="1" applyProtection="1">
      <alignment wrapText="1"/>
      <protection locked="0"/>
    </xf>
    <xf numFmtId="0" fontId="2" fillId="3" borderId="0" xfId="0" applyFont="1" applyFill="1" applyAlignment="1" applyProtection="1">
      <alignment wrapText="1"/>
      <protection locked="0"/>
    </xf>
    <xf numFmtId="0" fontId="13" fillId="3" borderId="1" xfId="0" applyFont="1" applyFill="1" applyBorder="1" applyAlignment="1" applyProtection="1">
      <alignment wrapText="1"/>
      <protection locked="0"/>
    </xf>
    <xf numFmtId="3" fontId="13" fillId="3" borderId="1" xfId="7" applyNumberFormat="1" applyFont="1" applyFill="1" applyBorder="1" applyAlignment="1" applyProtection="1">
      <alignment horizontal="right" wrapText="1"/>
      <protection locked="0"/>
    </xf>
    <xf numFmtId="0" fontId="7" fillId="3" borderId="1" xfId="0" applyFont="1" applyFill="1" applyBorder="1" applyAlignment="1" applyProtection="1">
      <alignment wrapText="1"/>
      <protection locked="0"/>
    </xf>
    <xf numFmtId="3" fontId="7" fillId="3" borderId="1" xfId="0" applyNumberFormat="1" applyFont="1" applyFill="1" applyBorder="1" applyAlignment="1" applyProtection="1">
      <alignment wrapText="1"/>
      <protection locked="0"/>
    </xf>
    <xf numFmtId="0" fontId="2" fillId="3" borderId="0" xfId="0" applyFont="1" applyFill="1" applyBorder="1" applyAlignment="1" applyProtection="1">
      <alignment wrapText="1"/>
      <protection locked="0"/>
    </xf>
    <xf numFmtId="3" fontId="13" fillId="3" borderId="0" xfId="0" applyNumberFormat="1" applyFont="1" applyFill="1" applyBorder="1" applyAlignment="1" applyProtection="1">
      <alignment wrapText="1"/>
      <protection locked="0"/>
    </xf>
    <xf numFmtId="3" fontId="2" fillId="3" borderId="1" xfId="7" applyNumberFormat="1" applyFont="1" applyFill="1" applyBorder="1" applyAlignment="1" applyProtection="1">
      <alignment horizontal="right" wrapText="1"/>
      <protection locked="0"/>
    </xf>
    <xf numFmtId="3" fontId="2" fillId="3" borderId="1" xfId="7" applyNumberFormat="1" applyFont="1" applyFill="1" applyBorder="1" applyAlignment="1" applyProtection="1">
      <alignment wrapText="1"/>
      <protection locked="0"/>
    </xf>
    <xf numFmtId="3" fontId="13" fillId="3" borderId="1" xfId="0" applyNumberFormat="1" applyFont="1" applyFill="1" applyBorder="1" applyAlignment="1" applyProtection="1">
      <alignment horizontal="right" wrapText="1"/>
      <protection locked="0"/>
    </xf>
    <xf numFmtId="3" fontId="13" fillId="3" borderId="1" xfId="0" applyNumberFormat="1" applyFont="1" applyFill="1" applyBorder="1" applyAlignment="1" applyProtection="1">
      <alignment horizontal="center" wrapText="1"/>
      <protection locked="0"/>
    </xf>
    <xf numFmtId="3" fontId="7" fillId="3" borderId="4" xfId="0" applyNumberFormat="1" applyFont="1" applyFill="1" applyBorder="1" applyAlignment="1" applyProtection="1">
      <protection locked="0"/>
    </xf>
    <xf numFmtId="3" fontId="23" fillId="3" borderId="5" xfId="0" applyNumberFormat="1" applyFont="1" applyFill="1" applyBorder="1" applyProtection="1">
      <protection locked="0"/>
    </xf>
    <xf numFmtId="1" fontId="41" fillId="0" borderId="0" xfId="3" applyNumberFormat="1" applyFont="1" applyFill="1" applyAlignment="1">
      <alignment horizontal="center" vertical="center" wrapText="1"/>
    </xf>
    <xf numFmtId="1" fontId="41" fillId="0" borderId="0" xfId="3" applyNumberFormat="1" applyFont="1" applyFill="1" applyAlignment="1">
      <alignment horizontal="right" vertical="center"/>
    </xf>
    <xf numFmtId="164" fontId="40" fillId="0" borderId="0" xfId="1" applyNumberFormat="1" applyFont="1" applyAlignment="1">
      <alignment horizontal="center"/>
    </xf>
    <xf numFmtId="3" fontId="13" fillId="3" borderId="1" xfId="0" applyNumberFormat="1" applyFont="1" applyFill="1" applyBorder="1" applyAlignment="1" applyProtection="1">
      <alignment vertical="center" wrapText="1"/>
      <protection locked="0"/>
    </xf>
    <xf numFmtId="164" fontId="42" fillId="3" borderId="1" xfId="15" applyNumberFormat="1" applyFont="1" applyFill="1" applyBorder="1" applyAlignment="1">
      <alignment horizontal="center" wrapText="1"/>
    </xf>
    <xf numFmtId="37" fontId="26" fillId="3" borderId="1" xfId="12" applyNumberFormat="1" applyFont="1" applyFill="1" applyBorder="1" applyAlignment="1">
      <alignment horizontal="right" wrapText="1"/>
    </xf>
    <xf numFmtId="164" fontId="26" fillId="3" borderId="1" xfId="17" applyNumberFormat="1" applyFont="1" applyFill="1" applyBorder="1" applyAlignment="1">
      <alignment horizontal="center" wrapText="1"/>
    </xf>
    <xf numFmtId="164" fontId="26" fillId="3" borderId="1" xfId="23" applyNumberFormat="1" applyFont="1" applyFill="1" applyBorder="1" applyAlignment="1">
      <alignment horizontal="center" wrapText="1"/>
    </xf>
    <xf numFmtId="0" fontId="26" fillId="3" borderId="1" xfId="24" applyFont="1" applyFill="1" applyBorder="1" applyAlignment="1">
      <alignment horizontal="left" wrapText="1"/>
    </xf>
    <xf numFmtId="0" fontId="26" fillId="3" borderId="1" xfId="24" applyNumberFormat="1" applyFont="1" applyFill="1" applyBorder="1" applyAlignment="1">
      <alignment horizontal="left" wrapText="1"/>
    </xf>
    <xf numFmtId="49" fontId="26" fillId="3" borderId="1" xfId="3" applyNumberFormat="1" applyFont="1" applyFill="1" applyBorder="1" applyAlignment="1">
      <alignment horizontal="left" wrapText="1"/>
    </xf>
    <xf numFmtId="164" fontId="26" fillId="3" borderId="1" xfId="12" applyNumberFormat="1" applyFont="1" applyFill="1" applyBorder="1" applyAlignment="1">
      <alignment horizontal="center" wrapText="1"/>
    </xf>
    <xf numFmtId="1" fontId="26" fillId="3" borderId="1" xfId="3" applyNumberFormat="1" applyFont="1" applyFill="1" applyBorder="1" applyAlignment="1">
      <alignment horizontal="center" wrapText="1"/>
    </xf>
    <xf numFmtId="164" fontId="26" fillId="3" borderId="1" xfId="12" applyNumberFormat="1" applyFont="1" applyFill="1" applyBorder="1" applyAlignment="1">
      <alignment horizontal="right" wrapText="1"/>
    </xf>
    <xf numFmtId="3" fontId="26" fillId="3" borderId="1" xfId="22" applyNumberFormat="1" applyFont="1" applyFill="1" applyBorder="1" applyAlignment="1">
      <alignment horizontal="center" wrapText="1"/>
    </xf>
    <xf numFmtId="49" fontId="26" fillId="3" borderId="1" xfId="0" applyNumberFormat="1" applyFont="1" applyFill="1" applyBorder="1" applyAlignment="1">
      <alignment horizontal="left" wrapText="1"/>
    </xf>
    <xf numFmtId="166" fontId="26" fillId="3" borderId="1" xfId="25" applyNumberFormat="1" applyFont="1" applyFill="1" applyBorder="1" applyAlignment="1">
      <alignment horizontal="center" wrapText="1"/>
    </xf>
    <xf numFmtId="3" fontId="4" fillId="0" borderId="0" xfId="0" applyNumberFormat="1" applyFont="1" applyBorder="1" applyAlignment="1">
      <alignment horizontal="center"/>
    </xf>
    <xf numFmtId="3" fontId="27" fillId="3" borderId="0" xfId="0" applyNumberFormat="1" applyFont="1" applyFill="1" applyBorder="1" applyAlignment="1" applyProtection="1">
      <alignment horizontal="right" vertical="center"/>
      <protection locked="0"/>
    </xf>
    <xf numFmtId="3" fontId="13" fillId="3"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pplyProtection="1">
      <alignment horizontal="center" vertical="center" wrapText="1"/>
      <protection locked="0"/>
    </xf>
    <xf numFmtId="3" fontId="6" fillId="3" borderId="0" xfId="0"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12" fillId="3" borderId="0" xfId="0" applyFont="1" applyFill="1" applyAlignment="1" applyProtection="1">
      <alignment horizontal="center" vertical="center" wrapText="1"/>
      <protection locked="0"/>
    </xf>
    <xf numFmtId="3" fontId="7" fillId="3" borderId="10" xfId="0" applyNumberFormat="1" applyFont="1" applyFill="1" applyBorder="1" applyAlignment="1" applyProtection="1">
      <alignment horizontal="right" wrapText="1"/>
      <protection locked="0"/>
    </xf>
    <xf numFmtId="0" fontId="4" fillId="3" borderId="0" xfId="0" applyFont="1" applyFill="1" applyAlignment="1">
      <alignment horizontal="right" vertical="top"/>
    </xf>
    <xf numFmtId="0" fontId="6" fillId="3" borderId="0" xfId="0" applyFont="1" applyFill="1" applyAlignment="1">
      <alignment horizontal="center"/>
    </xf>
    <xf numFmtId="0" fontId="12" fillId="3" borderId="0" xfId="0" applyFont="1" applyFill="1" applyAlignment="1">
      <alignment horizontal="center" vertical="center" wrapText="1"/>
    </xf>
    <xf numFmtId="0" fontId="7" fillId="3" borderId="10" xfId="0" applyFont="1" applyFill="1" applyBorder="1" applyAlignment="1">
      <alignment horizontal="right" vertical="center"/>
    </xf>
    <xf numFmtId="3" fontId="6" fillId="3" borderId="0" xfId="0" applyNumberFormat="1" applyFont="1" applyFill="1" applyBorder="1" applyAlignment="1">
      <alignment horizontal="center"/>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8" fillId="3" borderId="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9" xfId="0" applyFont="1" applyFill="1" applyBorder="1" applyAlignment="1">
      <alignment horizontal="center" vertical="center" wrapText="1"/>
    </xf>
    <xf numFmtId="164" fontId="6" fillId="0" borderId="0" xfId="1" applyNumberFormat="1" applyFont="1" applyAlignment="1">
      <alignment horizontal="center"/>
    </xf>
    <xf numFmtId="164" fontId="4" fillId="3" borderId="0" xfId="1" applyNumberFormat="1" applyFont="1" applyFill="1" applyAlignment="1">
      <alignment horizontal="right" vertical="center"/>
    </xf>
    <xf numFmtId="0" fontId="6" fillId="0" borderId="0" xfId="0" applyFont="1" applyFill="1" applyAlignment="1">
      <alignment horizontal="center"/>
    </xf>
    <xf numFmtId="0" fontId="6" fillId="0" borderId="0" xfId="5" applyFont="1" applyFill="1" applyAlignment="1">
      <alignment horizontal="center"/>
    </xf>
    <xf numFmtId="0" fontId="12" fillId="0" borderId="0" xfId="5" applyFont="1" applyFill="1" applyAlignment="1">
      <alignment horizontal="center" vertical="center" wrapText="1"/>
    </xf>
    <xf numFmtId="164" fontId="7" fillId="3" borderId="0" xfId="1" applyNumberFormat="1" applyFont="1" applyFill="1" applyBorder="1" applyAlignment="1">
      <alignment horizontal="right" wrapText="1"/>
    </xf>
    <xf numFmtId="164" fontId="15" fillId="3" borderId="0" xfId="1" applyNumberFormat="1" applyFont="1" applyFill="1" applyAlignment="1"/>
    <xf numFmtId="164" fontId="12" fillId="3" borderId="0" xfId="1" applyNumberFormat="1" applyFont="1" applyFill="1" applyAlignment="1">
      <alignment horizontal="center" vertical="center" wrapText="1"/>
    </xf>
    <xf numFmtId="164" fontId="8" fillId="3" borderId="1" xfId="1" applyNumberFormat="1" applyFont="1" applyFill="1" applyBorder="1" applyAlignment="1">
      <alignment horizontal="center" vertical="center" wrapText="1"/>
    </xf>
    <xf numFmtId="49" fontId="8" fillId="3" borderId="1" xfId="1" applyNumberFormat="1" applyFont="1" applyFill="1" applyBorder="1" applyAlignment="1">
      <alignment horizontal="center" vertical="center" wrapText="1"/>
    </xf>
    <xf numFmtId="164" fontId="6" fillId="3" borderId="0" xfId="1" applyNumberFormat="1" applyFont="1" applyFill="1" applyAlignment="1">
      <alignment horizontal="center"/>
    </xf>
    <xf numFmtId="164" fontId="7" fillId="3" borderId="10" xfId="1" applyNumberFormat="1" applyFont="1" applyFill="1" applyBorder="1" applyAlignment="1">
      <alignment horizontal="right" wrapText="1"/>
    </xf>
    <xf numFmtId="3" fontId="4" fillId="0" borderId="0" xfId="2" applyFont="1" applyAlignment="1">
      <alignment horizontal="right" vertical="center" wrapText="1"/>
    </xf>
    <xf numFmtId="3" fontId="4" fillId="0" borderId="0" xfId="6" applyFont="1" applyAlignment="1">
      <alignment horizontal="center" vertical="center" wrapText="1"/>
    </xf>
    <xf numFmtId="1" fontId="6" fillId="0" borderId="0" xfId="6" applyNumberFormat="1" applyFont="1" applyAlignment="1">
      <alignment horizontal="center" vertical="center"/>
    </xf>
    <xf numFmtId="3" fontId="7" fillId="0" borderId="10" xfId="2" applyFont="1" applyBorder="1" applyAlignment="1">
      <alignment horizontal="right" wrapText="1"/>
    </xf>
    <xf numFmtId="3" fontId="8" fillId="0" borderId="1" xfId="2" applyFont="1" applyFill="1" applyBorder="1" applyAlignment="1">
      <alignment horizontal="center" wrapText="1"/>
    </xf>
    <xf numFmtId="1" fontId="12" fillId="0" borderId="0" xfId="6" applyNumberFormat="1" applyFont="1" applyAlignment="1">
      <alignment horizontal="center" vertical="center"/>
    </xf>
    <xf numFmtId="3" fontId="4" fillId="0" borderId="0" xfId="4" applyNumberFormat="1" applyFont="1" applyAlignment="1">
      <alignment horizontal="right" vertical="center" wrapText="1"/>
    </xf>
    <xf numFmtId="3" fontId="6" fillId="0" borderId="0" xfId="6" applyFont="1" applyAlignment="1">
      <alignment horizontal="center" vertical="center" wrapText="1"/>
    </xf>
    <xf numFmtId="1" fontId="10" fillId="0" borderId="0" xfId="3" applyNumberFormat="1" applyFont="1" applyFill="1" applyAlignment="1">
      <alignment horizontal="center" vertical="center" wrapText="1"/>
    </xf>
    <xf numFmtId="3" fontId="7" fillId="0" borderId="10" xfId="4" applyFont="1" applyBorder="1" applyAlignment="1">
      <alignment horizontal="right" wrapText="1"/>
    </xf>
    <xf numFmtId="3" fontId="13" fillId="0" borderId="1" xfId="4" applyNumberFormat="1" applyFont="1" applyBorder="1" applyAlignment="1">
      <alignment horizontal="center" vertical="center" wrapText="1"/>
    </xf>
    <xf numFmtId="3" fontId="13" fillId="0" borderId="1" xfId="4" applyFont="1" applyBorder="1" applyAlignment="1">
      <alignment horizontal="center" vertical="center" wrapText="1"/>
    </xf>
    <xf numFmtId="3" fontId="13" fillId="0" borderId="1" xfId="4" applyFont="1" applyBorder="1" applyAlignment="1">
      <alignment horizontal="center" wrapText="1"/>
    </xf>
    <xf numFmtId="3" fontId="4" fillId="0" borderId="4" xfId="4" applyNumberFormat="1" applyFont="1" applyBorder="1" applyAlignment="1">
      <alignment horizontal="right" vertical="center" wrapText="1"/>
    </xf>
    <xf numFmtId="3" fontId="6" fillId="0" borderId="0" xfId="4" applyNumberFormat="1" applyFont="1" applyAlignment="1">
      <alignment horizontal="center" vertical="center" wrapText="1"/>
    </xf>
    <xf numFmtId="1" fontId="6" fillId="0" borderId="0" xfId="4" applyNumberFormat="1" applyFont="1" applyAlignment="1">
      <alignment horizontal="center" vertical="center"/>
    </xf>
    <xf numFmtId="1" fontId="12" fillId="0" borderId="0" xfId="4" applyNumberFormat="1" applyFont="1" applyAlignment="1">
      <alignment horizontal="center" vertical="center"/>
    </xf>
    <xf numFmtId="3" fontId="7" fillId="0" borderId="10" xfId="4" applyNumberFormat="1" applyFont="1" applyBorder="1" applyAlignment="1">
      <alignment horizontal="right" vertical="center" wrapText="1"/>
    </xf>
    <xf numFmtId="1" fontId="38" fillId="0" borderId="0" xfId="3" applyNumberFormat="1" applyFont="1" applyFill="1" applyAlignment="1">
      <alignment horizontal="center" vertical="center" wrapText="1"/>
    </xf>
    <xf numFmtId="1" fontId="28" fillId="0" borderId="10" xfId="3" applyNumberFormat="1" applyFont="1" applyFill="1" applyBorder="1" applyAlignment="1">
      <alignment horizontal="right" wrapText="1"/>
    </xf>
    <xf numFmtId="0" fontId="39" fillId="0" borderId="0" xfId="11" applyFont="1" applyFill="1" applyAlignment="1">
      <alignment horizontal="center" vertical="center" wrapText="1"/>
    </xf>
    <xf numFmtId="3" fontId="26" fillId="0" borderId="1" xfId="3" applyNumberFormat="1" applyFont="1" applyFill="1" applyBorder="1" applyAlignment="1">
      <alignment horizontal="center" vertical="center" wrapText="1"/>
    </xf>
    <xf numFmtId="1" fontId="26" fillId="0" borderId="1" xfId="3" applyNumberFormat="1" applyFont="1" applyFill="1" applyBorder="1" applyAlignment="1">
      <alignment horizontal="center" vertical="center" wrapText="1"/>
    </xf>
    <xf numFmtId="3" fontId="10" fillId="0" borderId="1" xfId="3" applyNumberFormat="1" applyFont="1" applyFill="1" applyBorder="1" applyAlignment="1">
      <alignment horizontal="center" vertical="center" wrapText="1"/>
    </xf>
    <xf numFmtId="164" fontId="40" fillId="0" borderId="0" xfId="1" applyNumberFormat="1" applyFont="1" applyAlignment="1">
      <alignment horizontal="center"/>
    </xf>
    <xf numFmtId="1" fontId="37" fillId="0" borderId="4" xfId="3" applyNumberFormat="1" applyFont="1" applyFill="1" applyBorder="1" applyAlignment="1">
      <alignment horizontal="right" wrapText="1"/>
    </xf>
    <xf numFmtId="0" fontId="38" fillId="0" borderId="0" xfId="0" applyFont="1" applyAlignment="1">
      <alignment horizontal="center"/>
    </xf>
    <xf numFmtId="3" fontId="29" fillId="0" borderId="1" xfId="3" applyNumberFormat="1" applyFont="1" applyFill="1" applyBorder="1" applyAlignment="1">
      <alignment horizontal="center" vertical="center" wrapText="1"/>
    </xf>
  </cellXfs>
  <cellStyles count="29">
    <cellStyle name="Comma" xfId="1" builtinId="3"/>
    <cellStyle name="Comma 10 10 2" xfId="22"/>
    <cellStyle name="Comma 11" xfId="15"/>
    <cellStyle name="Comma 11 2" xfId="23"/>
    <cellStyle name="Comma 13" xfId="14"/>
    <cellStyle name="Comma 3 2" xfId="17"/>
    <cellStyle name="Comma 35" xfId="12"/>
    <cellStyle name="Comma 4 2" xfId="19"/>
    <cellStyle name="Comma 4 2 2" xfId="28"/>
    <cellStyle name="Comma 4 3" xfId="18"/>
    <cellStyle name="Ledger 17 x 11 in" xfId="16"/>
    <cellStyle name="Ledger 17 x 11 in_Cong no theo CV 20-huyen Nghi Xuan" xfId="25"/>
    <cellStyle name="Normal" xfId="0" builtinId="0"/>
    <cellStyle name="Normal 10" xfId="2"/>
    <cellStyle name="Normal 11" xfId="10"/>
    <cellStyle name="Normal 14" xfId="8"/>
    <cellStyle name="Normal 19" xfId="24"/>
    <cellStyle name="Normal 2" xfId="20"/>
    <cellStyle name="Normal 2 2" xfId="9"/>
    <cellStyle name="Normal 31" xfId="11"/>
    <cellStyle name="Normal 4 2" xfId="21"/>
    <cellStyle name="Normal_Bao cao nam 2010" xfId="27"/>
    <cellStyle name="Normal_Bieu mau (CV )" xfId="3"/>
    <cellStyle name="Normal_DT 2015 (chinh thuc gui HDND 13.12.2014)" xfId="4"/>
    <cellStyle name="Normal_Mau bieu KH 2010 (gui cac nganh)" xfId="13"/>
    <cellStyle name="Normal_QLNN" xfId="5"/>
    <cellStyle name="Normal_Sheet1" xfId="26"/>
    <cellStyle name="Normal_XD DT 2014" xfId="6"/>
    <cellStyle name="Per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877062</xdr:colOff>
      <xdr:row>2</xdr:row>
      <xdr:rowOff>15240</xdr:rowOff>
    </xdr:from>
    <xdr:to>
      <xdr:col>0</xdr:col>
      <xdr:colOff>2369059</xdr:colOff>
      <xdr:row>2</xdr:row>
      <xdr:rowOff>15240</xdr:rowOff>
    </xdr:to>
    <xdr:sp macro="" textlink="">
      <xdr:nvSpPr>
        <xdr:cNvPr id="2" name="Line 1"/>
        <xdr:cNvSpPr>
          <a:spLocks noChangeShapeType="1"/>
        </xdr:cNvSpPr>
      </xdr:nvSpPr>
      <xdr:spPr bwMode="auto">
        <a:xfrm>
          <a:off x="877062" y="441960"/>
          <a:ext cx="14919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1059180</xdr:colOff>
      <xdr:row>2</xdr:row>
      <xdr:rowOff>22860</xdr:rowOff>
    </xdr:from>
    <xdr:to>
      <xdr:col>3</xdr:col>
      <xdr:colOff>205740</xdr:colOff>
      <xdr:row>2</xdr:row>
      <xdr:rowOff>22860</xdr:rowOff>
    </xdr:to>
    <xdr:sp macro="" textlink="">
      <xdr:nvSpPr>
        <xdr:cNvPr id="3" name="Line 2"/>
        <xdr:cNvSpPr>
          <a:spLocks noChangeShapeType="1"/>
        </xdr:cNvSpPr>
      </xdr:nvSpPr>
      <xdr:spPr bwMode="auto">
        <a:xfrm>
          <a:off x="4312920" y="449580"/>
          <a:ext cx="14859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1417320</xdr:colOff>
      <xdr:row>2</xdr:row>
      <xdr:rowOff>7620</xdr:rowOff>
    </xdr:from>
    <xdr:to>
      <xdr:col>1</xdr:col>
      <xdr:colOff>2766060</xdr:colOff>
      <xdr:row>2</xdr:row>
      <xdr:rowOff>7620</xdr:rowOff>
    </xdr:to>
    <xdr:sp macro="" textlink="">
      <xdr:nvSpPr>
        <xdr:cNvPr id="2" name="Line 2"/>
        <xdr:cNvSpPr>
          <a:spLocks noChangeShapeType="1"/>
        </xdr:cNvSpPr>
      </xdr:nvSpPr>
      <xdr:spPr bwMode="auto">
        <a:xfrm>
          <a:off x="1988820" y="434340"/>
          <a:ext cx="1348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99060</xdr:colOff>
      <xdr:row>2</xdr:row>
      <xdr:rowOff>15240</xdr:rowOff>
    </xdr:from>
    <xdr:to>
      <xdr:col>4</xdr:col>
      <xdr:colOff>883920</xdr:colOff>
      <xdr:row>2</xdr:row>
      <xdr:rowOff>15240</xdr:rowOff>
    </xdr:to>
    <xdr:cxnSp macro="">
      <xdr:nvCxnSpPr>
        <xdr:cNvPr id="7" name="Straight Connector 6"/>
        <xdr:cNvCxnSpPr/>
      </xdr:nvCxnSpPr>
      <xdr:spPr>
        <a:xfrm>
          <a:off x="6408420" y="441960"/>
          <a:ext cx="17830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858981</xdr:colOff>
      <xdr:row>2</xdr:row>
      <xdr:rowOff>20782</xdr:rowOff>
    </xdr:from>
    <xdr:to>
      <xdr:col>5</xdr:col>
      <xdr:colOff>838199</xdr:colOff>
      <xdr:row>2</xdr:row>
      <xdr:rowOff>20782</xdr:rowOff>
    </xdr:to>
    <xdr:cxnSp macro="">
      <xdr:nvCxnSpPr>
        <xdr:cNvPr id="3" name="Straight Connector 2"/>
        <xdr:cNvCxnSpPr/>
      </xdr:nvCxnSpPr>
      <xdr:spPr>
        <a:xfrm>
          <a:off x="5444836" y="464127"/>
          <a:ext cx="1870363"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540326</xdr:colOff>
      <xdr:row>2</xdr:row>
      <xdr:rowOff>20783</xdr:rowOff>
    </xdr:from>
    <xdr:to>
      <xdr:col>1</xdr:col>
      <xdr:colOff>2119744</xdr:colOff>
      <xdr:row>2</xdr:row>
      <xdr:rowOff>20784</xdr:rowOff>
    </xdr:to>
    <xdr:cxnSp macro="">
      <xdr:nvCxnSpPr>
        <xdr:cNvPr id="5" name="Straight Connector 4"/>
        <xdr:cNvCxnSpPr/>
      </xdr:nvCxnSpPr>
      <xdr:spPr>
        <a:xfrm flipV="1">
          <a:off x="1046017" y="464128"/>
          <a:ext cx="1579418"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304800</xdr:colOff>
      <xdr:row>2</xdr:row>
      <xdr:rowOff>22860</xdr:rowOff>
    </xdr:from>
    <xdr:to>
      <xdr:col>1</xdr:col>
      <xdr:colOff>1653540</xdr:colOff>
      <xdr:row>2</xdr:row>
      <xdr:rowOff>22860</xdr:rowOff>
    </xdr:to>
    <xdr:sp macro="" textlink="">
      <xdr:nvSpPr>
        <xdr:cNvPr id="2" name="Line 1"/>
        <xdr:cNvSpPr>
          <a:spLocks noChangeShapeType="1"/>
        </xdr:cNvSpPr>
      </xdr:nvSpPr>
      <xdr:spPr bwMode="auto">
        <a:xfrm>
          <a:off x="662940" y="464820"/>
          <a:ext cx="13487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53340</xdr:colOff>
      <xdr:row>2</xdr:row>
      <xdr:rowOff>30480</xdr:rowOff>
    </xdr:from>
    <xdr:to>
      <xdr:col>6</xdr:col>
      <xdr:colOff>175260</xdr:colOff>
      <xdr:row>2</xdr:row>
      <xdr:rowOff>30480</xdr:rowOff>
    </xdr:to>
    <xdr:sp macro="" textlink="">
      <xdr:nvSpPr>
        <xdr:cNvPr id="3" name="Line 2"/>
        <xdr:cNvSpPr>
          <a:spLocks noChangeShapeType="1"/>
        </xdr:cNvSpPr>
      </xdr:nvSpPr>
      <xdr:spPr bwMode="auto">
        <a:xfrm flipV="1">
          <a:off x="3817620" y="472440"/>
          <a:ext cx="1790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243840</xdr:colOff>
      <xdr:row>2</xdr:row>
      <xdr:rowOff>30480</xdr:rowOff>
    </xdr:from>
    <xdr:to>
      <xdr:col>2</xdr:col>
      <xdr:colOff>632460</xdr:colOff>
      <xdr:row>2</xdr:row>
      <xdr:rowOff>30480</xdr:rowOff>
    </xdr:to>
    <xdr:cxnSp macro="">
      <xdr:nvCxnSpPr>
        <xdr:cNvPr id="3" name="Straight Connector 2"/>
        <xdr:cNvCxnSpPr/>
      </xdr:nvCxnSpPr>
      <xdr:spPr>
        <a:xfrm>
          <a:off x="617220" y="472440"/>
          <a:ext cx="160782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388620</xdr:colOff>
      <xdr:row>2</xdr:row>
      <xdr:rowOff>22860</xdr:rowOff>
    </xdr:from>
    <xdr:to>
      <xdr:col>13</xdr:col>
      <xdr:colOff>266700</xdr:colOff>
      <xdr:row>2</xdr:row>
      <xdr:rowOff>22860</xdr:rowOff>
    </xdr:to>
    <xdr:cxnSp macro="">
      <xdr:nvCxnSpPr>
        <xdr:cNvPr id="5" name="Straight Connector 4"/>
        <xdr:cNvCxnSpPr/>
      </xdr:nvCxnSpPr>
      <xdr:spPr>
        <a:xfrm>
          <a:off x="7002780" y="464820"/>
          <a:ext cx="184404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480060</xdr:colOff>
      <xdr:row>2</xdr:row>
      <xdr:rowOff>30480</xdr:rowOff>
    </xdr:from>
    <xdr:to>
      <xdr:col>2</xdr:col>
      <xdr:colOff>853440</xdr:colOff>
      <xdr:row>2</xdr:row>
      <xdr:rowOff>30480</xdr:rowOff>
    </xdr:to>
    <xdr:cxnSp macro="">
      <xdr:nvCxnSpPr>
        <xdr:cNvPr id="3" name="Straight Connector 2"/>
        <xdr:cNvCxnSpPr/>
      </xdr:nvCxnSpPr>
      <xdr:spPr>
        <a:xfrm>
          <a:off x="853440" y="472440"/>
          <a:ext cx="16687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586740</xdr:colOff>
      <xdr:row>2</xdr:row>
      <xdr:rowOff>22860</xdr:rowOff>
    </xdr:from>
    <xdr:to>
      <xdr:col>10</xdr:col>
      <xdr:colOff>99060</xdr:colOff>
      <xdr:row>2</xdr:row>
      <xdr:rowOff>22860</xdr:rowOff>
    </xdr:to>
    <xdr:cxnSp macro="">
      <xdr:nvCxnSpPr>
        <xdr:cNvPr id="5" name="Straight Connector 4"/>
        <xdr:cNvCxnSpPr/>
      </xdr:nvCxnSpPr>
      <xdr:spPr>
        <a:xfrm>
          <a:off x="6294120" y="464820"/>
          <a:ext cx="185928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647700</xdr:colOff>
      <xdr:row>2</xdr:row>
      <xdr:rowOff>7620</xdr:rowOff>
    </xdr:from>
    <xdr:to>
      <xdr:col>2</xdr:col>
      <xdr:colOff>739140</xdr:colOff>
      <xdr:row>2</xdr:row>
      <xdr:rowOff>7620</xdr:rowOff>
    </xdr:to>
    <xdr:sp macro="" textlink="">
      <xdr:nvSpPr>
        <xdr:cNvPr id="2" name="Line 1"/>
        <xdr:cNvSpPr>
          <a:spLocks noChangeShapeType="1"/>
        </xdr:cNvSpPr>
      </xdr:nvSpPr>
      <xdr:spPr bwMode="auto">
        <a:xfrm>
          <a:off x="1028700" y="449580"/>
          <a:ext cx="14554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807720</xdr:colOff>
      <xdr:row>2</xdr:row>
      <xdr:rowOff>22860</xdr:rowOff>
    </xdr:from>
    <xdr:to>
      <xdr:col>9</xdr:col>
      <xdr:colOff>815340</xdr:colOff>
      <xdr:row>2</xdr:row>
      <xdr:rowOff>22860</xdr:rowOff>
    </xdr:to>
    <xdr:sp macro="" textlink="">
      <xdr:nvSpPr>
        <xdr:cNvPr id="3" name="Line 2"/>
        <xdr:cNvSpPr>
          <a:spLocks noChangeShapeType="1"/>
        </xdr:cNvSpPr>
      </xdr:nvSpPr>
      <xdr:spPr bwMode="auto">
        <a:xfrm flipV="1">
          <a:off x="6926580" y="464820"/>
          <a:ext cx="17602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956991</xdr:colOff>
      <xdr:row>2</xdr:row>
      <xdr:rowOff>7620</xdr:rowOff>
    </xdr:from>
    <xdr:to>
      <xdr:col>12</xdr:col>
      <xdr:colOff>89102</xdr:colOff>
      <xdr:row>2</xdr:row>
      <xdr:rowOff>7620</xdr:rowOff>
    </xdr:to>
    <xdr:sp macro="" textlink="">
      <xdr:nvSpPr>
        <xdr:cNvPr id="2" name="Line 1"/>
        <xdr:cNvSpPr>
          <a:spLocks noChangeShapeType="1"/>
        </xdr:cNvSpPr>
      </xdr:nvSpPr>
      <xdr:spPr bwMode="auto">
        <a:xfrm flipV="1">
          <a:off x="11929791" y="595449"/>
          <a:ext cx="226719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1326030</xdr:colOff>
      <xdr:row>2</xdr:row>
      <xdr:rowOff>29392</xdr:rowOff>
    </xdr:from>
    <xdr:to>
      <xdr:col>2</xdr:col>
      <xdr:colOff>98913</xdr:colOff>
      <xdr:row>2</xdr:row>
      <xdr:rowOff>29392</xdr:rowOff>
    </xdr:to>
    <xdr:sp macro="" textlink="">
      <xdr:nvSpPr>
        <xdr:cNvPr id="3" name="Line 2"/>
        <xdr:cNvSpPr>
          <a:spLocks noChangeShapeType="1"/>
        </xdr:cNvSpPr>
      </xdr:nvSpPr>
      <xdr:spPr bwMode="auto">
        <a:xfrm flipV="1">
          <a:off x="1837659" y="617221"/>
          <a:ext cx="1984168"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UTOAN%202015\DT%202015%20ban%20chinh%20thuc\DT%202015(27.11)\dan%20chinh%20thuc%2011.12.2014\DT%202015%20(chinh%20thuc%20gui%20HDND%2013.12.201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L%20dan\Nam%202014\XD%20du%20toan%202015\Du%20toan%20nam%202014%20(chinh%20thu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2C\Downloads\Th&#7921;c%20hi&#7879;n%20DT%202014\NSHX\NS%20t&#7893;ng%20h&#7907;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01 Thu NSNN"/>
      <sheetName val="PL 02 Thu NSH"/>
      <sheetName val="PL 03 Chi NS "/>
      <sheetName val="Tong thu 2015 (CT)"/>
      <sheetName val="PB tang thu"/>
      <sheetName val="Phan bo sN"/>
      <sheetName val="Tang thu"/>
      <sheetName val="Giao DT 2015"/>
      <sheetName val="DK du phong"/>
      <sheetName val="TH tien dat"/>
      <sheetName val="SS dT 2014-2015"/>
      <sheetName val="Tong thu 2015 (A dien cu)"/>
      <sheetName val="Giao DT 2014 (chưa làm tròn)"/>
      <sheetName val="Giao DT 2014 (Lam tron)"/>
      <sheetName val="Tang thu (chua làm trong)"/>
      <sheetName val="So xa"/>
      <sheetName val="BS % dieu tiet"/>
      <sheetName val="Tong hop 67&amp;13(2015)"/>
      <sheetName val="Y tế xã, thôn ĐBKK"/>
      <sheetName val="Dan quan TV 2015"/>
      <sheetName val="ND 92"/>
      <sheetName val="TT49"/>
      <sheetName val="bo sung Yte xa(539)"/>
      <sheetName val="CCB, TNXP( DT 2015)"/>
      <sheetName val=" phu cap truc.2014"/>
      <sheetName val="BHYT  ngheo(DT 2015)"/>
      <sheetName val="y te du phong 9 don vi 2015)"/>
      <sheetName val="BHXH 1%"/>
      <sheetName val="SNGD(chưa bao 49 và ăn trưa trẻ"/>
      <sheetName val="116 và 61 huyen,xa, GD"/>
      <sheetName val="Tăng hệ số lương(GDMN)"/>
      <sheetName val="BS bien che TTGDTX"/>
      <sheetName val="Tiền ăn trẻ 3,4,5 tuổi"/>
      <sheetName val="Sheet1"/>
      <sheetName val="Sheet1 (2)"/>
      <sheetName val="Sheet1 (3)"/>
      <sheetName val="Sheet1 (4)"/>
      <sheetName val="Sheet1 (5)"/>
      <sheetName val="Sheet1 (6)"/>
      <sheetName val="Sheet1 (7)"/>
      <sheetName val="Sheet1 (8)"/>
      <sheetName val="Sheet1 (9)"/>
    </sheetNames>
    <sheetDataSet>
      <sheetData sheetId="0" refreshError="1"/>
      <sheetData sheetId="1" refreshError="1"/>
      <sheetData sheetId="2" refreshError="1"/>
      <sheetData sheetId="3" refreshError="1">
        <row r="23">
          <cell r="K23">
            <v>3673543.1066902145</v>
          </cell>
          <cell r="L23">
            <v>2660458.0740452935</v>
          </cell>
          <cell r="M23">
            <v>1013085.0326449199</v>
          </cell>
        </row>
      </sheetData>
      <sheetData sheetId="4" refreshError="1"/>
      <sheetData sheetId="5" refreshError="1"/>
      <sheetData sheetId="6" refreshError="1">
        <row r="21">
          <cell r="Z21">
            <v>866443</v>
          </cell>
          <cell r="AA21">
            <v>257441</v>
          </cell>
          <cell r="AD21">
            <v>609002</v>
          </cell>
          <cell r="AG21">
            <v>532085</v>
          </cell>
          <cell r="AH21">
            <v>192046</v>
          </cell>
          <cell r="AI21">
            <v>340039</v>
          </cell>
        </row>
      </sheetData>
      <sheetData sheetId="7" refreshError="1">
        <row r="9">
          <cell r="L9">
            <v>866443</v>
          </cell>
          <cell r="M9">
            <v>532085</v>
          </cell>
        </row>
        <row r="10">
          <cell r="H10">
            <v>100800</v>
          </cell>
        </row>
        <row r="11">
          <cell r="H11">
            <v>332000</v>
          </cell>
        </row>
        <row r="12">
          <cell r="H12">
            <v>792700</v>
          </cell>
        </row>
        <row r="14">
          <cell r="H14">
            <v>65000</v>
          </cell>
        </row>
        <row r="15">
          <cell r="H15">
            <v>300000</v>
          </cell>
        </row>
        <row r="16">
          <cell r="H16">
            <v>83600</v>
          </cell>
        </row>
        <row r="17">
          <cell r="H17">
            <v>11000</v>
          </cell>
        </row>
        <row r="18">
          <cell r="H18">
            <v>195800</v>
          </cell>
        </row>
        <row r="19">
          <cell r="H19">
            <v>83000</v>
          </cell>
        </row>
        <row r="20">
          <cell r="H20">
            <v>750000</v>
          </cell>
        </row>
        <row r="21">
          <cell r="H21">
            <v>70000</v>
          </cell>
        </row>
        <row r="22">
          <cell r="H22">
            <v>111900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01 Thu NSNN"/>
      <sheetName val="PL 02 Thu NSH"/>
      <sheetName val="PL 03 Chi NS"/>
      <sheetName val="TK tang them 2014"/>
      <sheetName val="Tong thu 2014 (lam tron)"/>
      <sheetName val="Giao DT 2014 (Lam tron)"/>
      <sheetName val="Du toan thuc hien de an QD"/>
      <sheetName val="Giao DT 2014 (chua lam tron)"/>
      <sheetName val="Tang thu (tinh giao)"/>
      <sheetName val="So sanh thu"/>
      <sheetName val="PB nguon Mtieu"/>
      <sheetName val="P.bo tang thu DT"/>
      <sheetName val="TH bo sung nguôn"/>
      <sheetName val="Dan quan Tv"/>
      <sheetName val="CCTL ND 66 SNGD DT2014 "/>
      <sheetName val="TH SN giao duc DT 2014"/>
      <sheetName val="PC cong vu hoi CTD"/>
      <sheetName val="ND 116"/>
      <sheetName val="CCTL BS dT 2014 (ko tinh SN"/>
      <sheetName val="TH So luong thon xom DT204(SNV)"/>
      <sheetName val="SN giao duc 2014"/>
      <sheetName val="CD ND 116"/>
      <sheetName val="CV 286(ton giao)"/>
      <sheetName val="ND 67&amp;13"/>
      <sheetName val="TT49"/>
      <sheetName val="TNXP"/>
      <sheetName val="LTCM"/>
      <sheetName val="y te khong co 03 (CLoc-TP)"/>
      <sheetName val="Kiem tra 1"/>
      <sheetName val="Kiem tra"/>
      <sheetName val="TK tang them 2014 (2)"/>
      <sheetName val="Tong thu 2014 (Goc)"/>
      <sheetName val="Giao DT 2013"/>
      <sheetName val="TK chi CD TH CCTl"/>
      <sheetName val="TK chi 2014"/>
      <sheetName val="So sanh TK chi"/>
      <sheetName val="TK chi 2013"/>
      <sheetName val="PL 02 thu huong"/>
      <sheetName val="DT thu dât 2014"/>
      <sheetName val="Tong thu 2014 (cu)"/>
      <sheetName val="Ky Anh"/>
      <sheetName val="Thu QT12"/>
      <sheetName val="Ty trong"/>
      <sheetName val="BC cac huyen"/>
      <sheetName val="Mot so cong thuc"/>
      <sheetName val="Bieu ty le dieu tiet"/>
      <sheetName val="CCT BS dT 2014 (Tach SN)"/>
      <sheetName val="SN giao duc DT 2014"/>
      <sheetName val="Chuong"/>
      <sheetName val="Muc thu"/>
      <sheetName val="CT thu"/>
      <sheetName val="BHTN 13"/>
      <sheetName val="DT 2013 (2)"/>
      <sheetName val="Sheet1"/>
    </sheetNames>
    <sheetDataSet>
      <sheetData sheetId="0" refreshError="1"/>
      <sheetData sheetId="1" refreshError="1"/>
      <sheetData sheetId="2" refreshError="1"/>
      <sheetData sheetId="3" refreshError="1"/>
      <sheetData sheetId="4" refreshError="1">
        <row r="23">
          <cell r="B23" t="str">
            <v>Tổng cộng</v>
          </cell>
        </row>
      </sheetData>
      <sheetData sheetId="5" refreshError="1">
        <row r="11">
          <cell r="B11" t="str">
            <v>Toàn tỉnh</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ng thu"/>
      <sheetName val="Phan chia NS"/>
      <sheetName val="PL 01 Thu NSNN"/>
      <sheetName val="PL 02 Thu NSH"/>
      <sheetName val="PL 03 Chi NS "/>
      <sheetName val="Sheet1"/>
      <sheetName val="Sheet2"/>
      <sheetName val="Sheet3"/>
    </sheetNames>
    <sheetDataSet>
      <sheetData sheetId="0" refreshError="1"/>
      <sheetData sheetId="1" refreshError="1"/>
      <sheetData sheetId="2">
        <row r="17">
          <cell r="C17">
            <v>2895800</v>
          </cell>
        </row>
      </sheetData>
      <sheetData sheetId="3">
        <row r="19">
          <cell r="K19">
            <v>3526902</v>
          </cell>
          <cell r="L19">
            <v>1545170</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5"/>
  <sheetViews>
    <sheetView topLeftCell="A22" zoomScaleNormal="100" zoomScaleSheetLayoutView="115" workbookViewId="0">
      <selection activeCell="C47" sqref="C47"/>
    </sheetView>
  </sheetViews>
  <sheetFormatPr defaultColWidth="9" defaultRowHeight="21"/>
  <cols>
    <col min="1" max="1" width="42.69921875" style="271" customWidth="1"/>
    <col min="2" max="2" width="15.296875" style="236" customWidth="1"/>
    <col min="3" max="3" width="15.3984375" style="236" customWidth="1"/>
    <col min="4" max="4" width="16" style="236" customWidth="1"/>
    <col min="5" max="5" width="13" style="236" customWidth="1"/>
    <col min="6" max="16384" width="9" style="236"/>
  </cols>
  <sheetData>
    <row r="1" spans="1:4" s="235" customFormat="1" ht="16.8">
      <c r="A1" s="233" t="s">
        <v>993</v>
      </c>
      <c r="B1" s="289" t="s">
        <v>994</v>
      </c>
      <c r="C1" s="289"/>
      <c r="D1" s="289"/>
    </row>
    <row r="2" spans="1:4" s="235" customFormat="1" ht="16.8">
      <c r="A2" s="233" t="s">
        <v>999</v>
      </c>
      <c r="B2" s="289" t="s">
        <v>998</v>
      </c>
      <c r="C2" s="289"/>
      <c r="D2" s="289"/>
    </row>
    <row r="3" spans="1:4">
      <c r="A3" s="233"/>
      <c r="B3" s="233"/>
      <c r="C3" s="233"/>
      <c r="D3" s="233"/>
    </row>
    <row r="4" spans="1:4" s="237" customFormat="1" ht="23.25" customHeight="1">
      <c r="A4" s="293" t="s">
        <v>575</v>
      </c>
      <c r="B4" s="293"/>
      <c r="C4" s="293"/>
      <c r="D4" s="293"/>
    </row>
    <row r="5" spans="1:4" s="237" customFormat="1" ht="21.75" customHeight="1">
      <c r="A5" s="293" t="s">
        <v>607</v>
      </c>
      <c r="B5" s="293"/>
      <c r="C5" s="293"/>
      <c r="D5" s="293"/>
    </row>
    <row r="6" spans="1:4" s="237" customFormat="1" ht="23.25" customHeight="1">
      <c r="A6" s="295" t="s">
        <v>995</v>
      </c>
      <c r="B6" s="295"/>
      <c r="C6" s="295"/>
      <c r="D6" s="295"/>
    </row>
    <row r="7" spans="1:4" s="239" customFormat="1" ht="21.75" customHeight="1">
      <c r="A7" s="238"/>
      <c r="C7" s="296" t="s">
        <v>0</v>
      </c>
      <c r="D7" s="296"/>
    </row>
    <row r="8" spans="1:4" s="240" customFormat="1" ht="21" customHeight="1">
      <c r="A8" s="291" t="s">
        <v>1</v>
      </c>
      <c r="B8" s="291" t="s">
        <v>609</v>
      </c>
      <c r="C8" s="291"/>
      <c r="D8" s="291"/>
    </row>
    <row r="9" spans="1:4" s="240" customFormat="1" ht="19.2" customHeight="1">
      <c r="A9" s="294"/>
      <c r="B9" s="291" t="s">
        <v>2</v>
      </c>
      <c r="C9" s="292" t="s">
        <v>3</v>
      </c>
      <c r="D9" s="292"/>
    </row>
    <row r="10" spans="1:4" s="240" customFormat="1" ht="27.6" customHeight="1">
      <c r="A10" s="294"/>
      <c r="B10" s="291"/>
      <c r="C10" s="241" t="s">
        <v>4</v>
      </c>
      <c r="D10" s="241" t="s">
        <v>25</v>
      </c>
    </row>
    <row r="11" spans="1:4" s="240" customFormat="1" ht="27.6" customHeight="1">
      <c r="A11" s="242">
        <v>1</v>
      </c>
      <c r="B11" s="243">
        <v>2</v>
      </c>
      <c r="C11" s="243">
        <v>3</v>
      </c>
      <c r="D11" s="243">
        <v>4</v>
      </c>
    </row>
    <row r="12" spans="1:4" s="246" customFormat="1" ht="34.799999999999997" customHeight="1">
      <c r="A12" s="244" t="s">
        <v>980</v>
      </c>
      <c r="B12" s="245">
        <f>C12+D12</f>
        <v>7500000</v>
      </c>
      <c r="C12" s="245">
        <f>C13+C27+C29</f>
        <v>4351300</v>
      </c>
      <c r="D12" s="245">
        <f>D13+D27+D29</f>
        <v>3148700</v>
      </c>
    </row>
    <row r="13" spans="1:4" s="249" customFormat="1" ht="30" customHeight="1">
      <c r="A13" s="247" t="s">
        <v>981</v>
      </c>
      <c r="B13" s="248">
        <f>B14+B17+B18+B19+B20+B21+B22+B23+B24+B25+B26</f>
        <v>7222000</v>
      </c>
      <c r="C13" s="248">
        <f>C14+C17+C18+C19+C20+C21+C22+C23+C24+C25</f>
        <v>4253141</v>
      </c>
      <c r="D13" s="248">
        <f>D14+D17+D18+D19+D20+D21+D22+D23+D24+D25+D26</f>
        <v>2968859</v>
      </c>
    </row>
    <row r="14" spans="1:4" s="239" customFormat="1" ht="30" customHeight="1">
      <c r="A14" s="250" t="s">
        <v>970</v>
      </c>
      <c r="B14" s="248">
        <f>C14+D14</f>
        <v>3025000</v>
      </c>
      <c r="C14" s="250">
        <f>C15+C16</f>
        <v>2655738</v>
      </c>
      <c r="D14" s="250">
        <f>D15+D16</f>
        <v>369262</v>
      </c>
    </row>
    <row r="15" spans="1:4" s="239" customFormat="1" ht="30" customHeight="1">
      <c r="A15" s="250" t="s">
        <v>6</v>
      </c>
      <c r="B15" s="248">
        <f>C15+D15</f>
        <v>1510000</v>
      </c>
      <c r="C15" s="248">
        <v>1298738</v>
      </c>
      <c r="D15" s="250">
        <v>211262</v>
      </c>
    </row>
    <row r="16" spans="1:4" s="239" customFormat="1" ht="30" customHeight="1">
      <c r="A16" s="250" t="s">
        <v>7</v>
      </c>
      <c r="B16" s="248">
        <f t="shared" ref="B16:B29" si="0">C16+D16</f>
        <v>1515000</v>
      </c>
      <c r="C16" s="250">
        <v>1357000</v>
      </c>
      <c r="D16" s="250">
        <v>158000</v>
      </c>
    </row>
    <row r="17" spans="1:4" s="239" customFormat="1" ht="30" customHeight="1">
      <c r="A17" s="250" t="s">
        <v>969</v>
      </c>
      <c r="B17" s="248">
        <f t="shared" si="0"/>
        <v>1540000</v>
      </c>
      <c r="C17" s="250">
        <v>680642</v>
      </c>
      <c r="D17" s="250">
        <v>859358</v>
      </c>
    </row>
    <row r="18" spans="1:4" s="239" customFormat="1" ht="30" customHeight="1">
      <c r="A18" s="250" t="s">
        <v>971</v>
      </c>
      <c r="B18" s="248">
        <f t="shared" si="0"/>
        <v>12000</v>
      </c>
      <c r="C18" s="250"/>
      <c r="D18" s="250">
        <v>12000</v>
      </c>
    </row>
    <row r="19" spans="1:4" s="239" customFormat="1" ht="30" customHeight="1">
      <c r="A19" s="250" t="s">
        <v>972</v>
      </c>
      <c r="B19" s="248">
        <f t="shared" si="0"/>
        <v>750000</v>
      </c>
      <c r="C19" s="250"/>
      <c r="D19" s="250">
        <v>750000</v>
      </c>
    </row>
    <row r="20" spans="1:4" s="239" customFormat="1" ht="30" customHeight="1">
      <c r="A20" s="250" t="s">
        <v>973</v>
      </c>
      <c r="B20" s="248">
        <f t="shared" si="0"/>
        <v>174000</v>
      </c>
      <c r="C20" s="250"/>
      <c r="D20" s="248">
        <v>174000</v>
      </c>
    </row>
    <row r="21" spans="1:4" s="239" customFormat="1" ht="30" customHeight="1">
      <c r="A21" s="250" t="s">
        <v>974</v>
      </c>
      <c r="B21" s="248">
        <f t="shared" si="0"/>
        <v>395000</v>
      </c>
      <c r="C21" s="250"/>
      <c r="D21" s="250">
        <v>395000</v>
      </c>
    </row>
    <row r="22" spans="1:4" s="239" customFormat="1" ht="30" customHeight="1">
      <c r="A22" s="250" t="s">
        <v>975</v>
      </c>
      <c r="B22" s="248">
        <f t="shared" si="0"/>
        <v>190000</v>
      </c>
      <c r="C22" s="250">
        <v>104761</v>
      </c>
      <c r="D22" s="250">
        <v>85239</v>
      </c>
    </row>
    <row r="23" spans="1:4" s="239" customFormat="1" ht="30" customHeight="1">
      <c r="A23" s="250" t="s">
        <v>976</v>
      </c>
      <c r="B23" s="248">
        <f t="shared" si="0"/>
        <v>7000</v>
      </c>
      <c r="C23" s="250">
        <v>7000</v>
      </c>
      <c r="D23" s="250"/>
    </row>
    <row r="24" spans="1:4" s="239" customFormat="1" ht="30" customHeight="1">
      <c r="A24" s="250" t="s">
        <v>977</v>
      </c>
      <c r="B24" s="248">
        <f t="shared" si="0"/>
        <v>301000</v>
      </c>
      <c r="C24" s="250">
        <v>205000</v>
      </c>
      <c r="D24" s="250">
        <v>96000</v>
      </c>
    </row>
    <row r="25" spans="1:4" s="239" customFormat="1" ht="30" customHeight="1">
      <c r="A25" s="250" t="s">
        <v>978</v>
      </c>
      <c r="B25" s="248">
        <f t="shared" si="0"/>
        <v>600000</v>
      </c>
      <c r="C25" s="250">
        <v>600000</v>
      </c>
      <c r="D25" s="250"/>
    </row>
    <row r="26" spans="1:4" s="239" customFormat="1" ht="30" customHeight="1">
      <c r="A26" s="250" t="s">
        <v>979</v>
      </c>
      <c r="B26" s="248">
        <f t="shared" si="0"/>
        <v>228000</v>
      </c>
      <c r="C26" s="250"/>
      <c r="D26" s="250">
        <v>228000</v>
      </c>
    </row>
    <row r="27" spans="1:4" s="251" customFormat="1" ht="30" customHeight="1">
      <c r="A27" s="247" t="s">
        <v>8</v>
      </c>
      <c r="B27" s="248">
        <f t="shared" si="0"/>
        <v>213000</v>
      </c>
      <c r="C27" s="248">
        <v>98159</v>
      </c>
      <c r="D27" s="248">
        <v>114841</v>
      </c>
    </row>
    <row r="28" spans="1:4" s="254" customFormat="1" ht="30" customHeight="1">
      <c r="A28" s="252" t="s">
        <v>24</v>
      </c>
      <c r="B28" s="248">
        <f t="shared" si="0"/>
        <v>79500</v>
      </c>
      <c r="C28" s="253"/>
      <c r="D28" s="253">
        <v>79500</v>
      </c>
    </row>
    <row r="29" spans="1:4" s="251" customFormat="1" ht="30" customHeight="1">
      <c r="A29" s="247" t="s">
        <v>982</v>
      </c>
      <c r="B29" s="248">
        <f t="shared" si="0"/>
        <v>65000</v>
      </c>
      <c r="C29" s="255"/>
      <c r="D29" s="248">
        <v>65000</v>
      </c>
    </row>
    <row r="30" spans="1:4" s="257" customFormat="1" ht="34.200000000000003" customHeight="1">
      <c r="A30" s="256" t="s">
        <v>983</v>
      </c>
      <c r="B30" s="245">
        <f>C30+D30</f>
        <v>346637</v>
      </c>
      <c r="C30" s="245">
        <f>SUM(C31:C39)</f>
        <v>143637</v>
      </c>
      <c r="D30" s="245">
        <f>SUM(D31:D39)</f>
        <v>203000</v>
      </c>
    </row>
    <row r="31" spans="1:4" s="259" customFormat="1" ht="30" customHeight="1">
      <c r="A31" s="258" t="s">
        <v>9</v>
      </c>
      <c r="B31" s="250">
        <f>C31+D31</f>
        <v>107162</v>
      </c>
      <c r="C31" s="250">
        <v>67162</v>
      </c>
      <c r="D31" s="250">
        <v>40000</v>
      </c>
    </row>
    <row r="32" spans="1:4" s="259" customFormat="1" ht="30" customHeight="1">
      <c r="A32" s="258" t="s">
        <v>10</v>
      </c>
      <c r="B32" s="250"/>
      <c r="C32" s="250"/>
      <c r="D32" s="250"/>
    </row>
    <row r="33" spans="1:5" s="259" customFormat="1" ht="30" customHeight="1">
      <c r="A33" s="258" t="s">
        <v>11</v>
      </c>
      <c r="B33" s="250">
        <f t="shared" ref="B33:B39" si="1">C33+D33</f>
        <v>4200</v>
      </c>
      <c r="C33" s="250">
        <v>1200</v>
      </c>
      <c r="D33" s="250">
        <v>3000</v>
      </c>
    </row>
    <row r="34" spans="1:5" s="259" customFormat="1" ht="30" customHeight="1">
      <c r="A34" s="258" t="s">
        <v>26</v>
      </c>
      <c r="B34" s="250">
        <f t="shared" si="1"/>
        <v>2100</v>
      </c>
      <c r="C34" s="250">
        <v>2100</v>
      </c>
      <c r="D34" s="250"/>
    </row>
    <row r="35" spans="1:5" s="259" customFormat="1" ht="30" customHeight="1">
      <c r="A35" s="258" t="s">
        <v>12</v>
      </c>
      <c r="B35" s="250"/>
      <c r="C35" s="250"/>
      <c r="D35" s="250"/>
    </row>
    <row r="36" spans="1:5" s="259" customFormat="1" ht="30" customHeight="1">
      <c r="A36" s="258" t="s">
        <v>13</v>
      </c>
      <c r="B36" s="250">
        <f t="shared" si="1"/>
        <v>600</v>
      </c>
      <c r="C36" s="250">
        <v>600</v>
      </c>
      <c r="D36" s="250"/>
    </row>
    <row r="37" spans="1:5" s="259" customFormat="1" ht="31.2">
      <c r="A37" s="258" t="s">
        <v>14</v>
      </c>
      <c r="B37" s="250">
        <f t="shared" si="1"/>
        <v>40420</v>
      </c>
      <c r="C37" s="250">
        <v>40420</v>
      </c>
      <c r="D37" s="250"/>
    </row>
    <row r="38" spans="1:5" s="259" customFormat="1" ht="30" customHeight="1">
      <c r="A38" s="258" t="s">
        <v>15</v>
      </c>
      <c r="B38" s="250">
        <f t="shared" si="1"/>
        <v>100000</v>
      </c>
      <c r="C38" s="250"/>
      <c r="D38" s="250">
        <v>100000</v>
      </c>
    </row>
    <row r="39" spans="1:5" s="259" customFormat="1" ht="30" customHeight="1">
      <c r="A39" s="258" t="s">
        <v>16</v>
      </c>
      <c r="B39" s="250">
        <f t="shared" si="1"/>
        <v>92155</v>
      </c>
      <c r="C39" s="250">
        <v>32155</v>
      </c>
      <c r="D39" s="250">
        <v>60000</v>
      </c>
    </row>
    <row r="40" spans="1:5" s="257" customFormat="1" ht="30" customHeight="1">
      <c r="A40" s="260" t="s">
        <v>984</v>
      </c>
      <c r="B40" s="261">
        <v>7000000</v>
      </c>
      <c r="C40" s="261">
        <v>7000000</v>
      </c>
      <c r="D40" s="261">
        <v>0</v>
      </c>
    </row>
    <row r="41" spans="1:5" s="264" customFormat="1" ht="30" customHeight="1">
      <c r="A41" s="262" t="s">
        <v>17</v>
      </c>
      <c r="B41" s="263">
        <f>B40+B30+B12</f>
        <v>14846637</v>
      </c>
      <c r="C41" s="263">
        <f>C40+C30+C12</f>
        <v>11494937</v>
      </c>
      <c r="D41" s="263">
        <f>D40+D30+D12</f>
        <v>3351700</v>
      </c>
    </row>
    <row r="42" spans="1:5" s="264" customFormat="1" ht="30" customHeight="1">
      <c r="A42" s="258" t="s">
        <v>23</v>
      </c>
      <c r="B42" s="248">
        <f>C42+D42</f>
        <v>7140350</v>
      </c>
      <c r="C42" s="250">
        <f>C40</f>
        <v>7000000</v>
      </c>
      <c r="D42" s="250">
        <v>140350</v>
      </c>
    </row>
    <row r="43" spans="1:5" s="239" customFormat="1" ht="30" customHeight="1">
      <c r="A43" s="258" t="s">
        <v>18</v>
      </c>
      <c r="B43" s="248">
        <f>B41-B42</f>
        <v>7706287</v>
      </c>
      <c r="C43" s="248">
        <f>C41-C42</f>
        <v>4494937</v>
      </c>
      <c r="D43" s="248">
        <f>D41-D42</f>
        <v>3211350</v>
      </c>
    </row>
    <row r="44" spans="1:5" s="265" customFormat="1" ht="33.6" customHeight="1">
      <c r="A44" s="244" t="s">
        <v>985</v>
      </c>
      <c r="B44" s="245">
        <f>B45+B46+B47+B50</f>
        <v>5708480</v>
      </c>
      <c r="C44" s="245">
        <f>C45+C46+C47+C50</f>
        <v>5708480</v>
      </c>
      <c r="D44" s="245">
        <f>D45+D46+D47+D50</f>
        <v>0</v>
      </c>
    </row>
    <row r="45" spans="1:5" s="239" customFormat="1" ht="30" customHeight="1">
      <c r="A45" s="250" t="s">
        <v>19</v>
      </c>
      <c r="B45" s="266">
        <f>C45+D45</f>
        <v>3050815</v>
      </c>
      <c r="C45" s="266">
        <v>3050815</v>
      </c>
      <c r="D45" s="250"/>
    </row>
    <row r="46" spans="1:5" s="239" customFormat="1" ht="30" customHeight="1">
      <c r="A46" s="250" t="s">
        <v>27</v>
      </c>
      <c r="B46" s="266">
        <v>210858</v>
      </c>
      <c r="C46" s="266">
        <v>210858</v>
      </c>
      <c r="D46" s="250"/>
    </row>
    <row r="47" spans="1:5" s="239" customFormat="1" ht="30" customHeight="1">
      <c r="A47" s="250" t="s">
        <v>605</v>
      </c>
      <c r="B47" s="266">
        <f>B48+B49</f>
        <v>2446807</v>
      </c>
      <c r="C47" s="266">
        <f>C48+C49</f>
        <v>2446807</v>
      </c>
      <c r="D47" s="250"/>
    </row>
    <row r="48" spans="1:5" s="239" customFormat="1" ht="30" customHeight="1">
      <c r="A48" s="250" t="s">
        <v>20</v>
      </c>
      <c r="B48" s="266">
        <f>232519+1086374+779914</f>
        <v>2098807</v>
      </c>
      <c r="C48" s="266">
        <f>232519+1086374+779914</f>
        <v>2098807</v>
      </c>
      <c r="D48" s="250"/>
      <c r="E48" s="265"/>
    </row>
    <row r="49" spans="1:4" s="239" customFormat="1" ht="30" customHeight="1">
      <c r="A49" s="250" t="s">
        <v>21</v>
      </c>
      <c r="B49" s="266">
        <v>348000</v>
      </c>
      <c r="C49" s="266">
        <v>348000</v>
      </c>
      <c r="D49" s="250"/>
    </row>
    <row r="50" spans="1:4" s="239" customFormat="1" ht="30" customHeight="1">
      <c r="A50" s="247" t="s">
        <v>606</v>
      </c>
      <c r="B50" s="267"/>
      <c r="C50" s="267"/>
      <c r="D50" s="250"/>
    </row>
    <row r="51" spans="1:4" s="265" customFormat="1" ht="30" customHeight="1">
      <c r="A51" s="275" t="s">
        <v>986</v>
      </c>
      <c r="B51" s="268"/>
      <c r="C51" s="245"/>
      <c r="D51" s="245"/>
    </row>
    <row r="52" spans="1:4" s="265" customFormat="1" ht="31.2">
      <c r="A52" s="275" t="s">
        <v>987</v>
      </c>
      <c r="B52" s="245"/>
      <c r="C52" s="245"/>
      <c r="D52" s="245"/>
    </row>
    <row r="53" spans="1:4" s="265" customFormat="1" ht="30" customHeight="1">
      <c r="A53" s="275" t="s">
        <v>988</v>
      </c>
      <c r="B53" s="245"/>
      <c r="C53" s="245"/>
      <c r="D53" s="245"/>
    </row>
    <row r="54" spans="1:4" s="265" customFormat="1" ht="30" customHeight="1">
      <c r="A54" s="269" t="s">
        <v>22</v>
      </c>
      <c r="B54" s="245">
        <f>C54+D54</f>
        <v>13414767</v>
      </c>
      <c r="C54" s="245">
        <f>C43+C44+C51+C52+C53</f>
        <v>10203417</v>
      </c>
      <c r="D54" s="245">
        <f>D43+D44+D51+D52+D53</f>
        <v>3211350</v>
      </c>
    </row>
    <row r="55" spans="1:4" s="237" customFormat="1" ht="15" customHeight="1">
      <c r="A55" s="270"/>
      <c r="B55" s="270"/>
      <c r="C55" s="270"/>
      <c r="D55" s="270"/>
    </row>
    <row r="56" spans="1:4">
      <c r="A56" s="236"/>
      <c r="B56" s="290"/>
      <c r="C56" s="290"/>
      <c r="D56" s="290"/>
    </row>
    <row r="57" spans="1:4">
      <c r="A57" s="236"/>
    </row>
    <row r="58" spans="1:4">
      <c r="A58" s="236"/>
    </row>
    <row r="59" spans="1:4">
      <c r="A59" s="236"/>
    </row>
    <row r="60" spans="1:4">
      <c r="A60" s="236"/>
    </row>
    <row r="61" spans="1:4">
      <c r="A61" s="236"/>
    </row>
    <row r="62" spans="1:4">
      <c r="A62" s="236"/>
    </row>
    <row r="63" spans="1:4">
      <c r="A63" s="236"/>
    </row>
    <row r="64" spans="1:4">
      <c r="A64" s="236"/>
    </row>
    <row r="65" spans="1:1">
      <c r="A65" s="236"/>
    </row>
    <row r="66" spans="1:1">
      <c r="A66" s="236"/>
    </row>
    <row r="67" spans="1:1">
      <c r="A67" s="236"/>
    </row>
    <row r="68" spans="1:1">
      <c r="A68" s="236"/>
    </row>
    <row r="69" spans="1:1">
      <c r="A69" s="236"/>
    </row>
    <row r="70" spans="1:1">
      <c r="A70" s="236"/>
    </row>
    <row r="71" spans="1:1">
      <c r="A71" s="236"/>
    </row>
    <row r="72" spans="1:1">
      <c r="A72" s="236"/>
    </row>
    <row r="73" spans="1:1">
      <c r="A73" s="236"/>
    </row>
    <row r="74" spans="1:1">
      <c r="A74" s="236"/>
    </row>
    <row r="75" spans="1:1">
      <c r="A75" s="236"/>
    </row>
    <row r="76" spans="1:1">
      <c r="A76" s="236"/>
    </row>
    <row r="77" spans="1:1">
      <c r="A77" s="236"/>
    </row>
    <row r="78" spans="1:1">
      <c r="A78" s="236"/>
    </row>
    <row r="79" spans="1:1">
      <c r="A79" s="236"/>
    </row>
    <row r="80" spans="1:1">
      <c r="A80" s="236"/>
    </row>
    <row r="81" spans="1:1">
      <c r="A81" s="236"/>
    </row>
    <row r="82" spans="1:1">
      <c r="A82" s="236"/>
    </row>
    <row r="83" spans="1:1">
      <c r="A83" s="236"/>
    </row>
    <row r="84" spans="1:1">
      <c r="A84" s="236"/>
    </row>
    <row r="85" spans="1:1">
      <c r="A85" s="236"/>
    </row>
    <row r="86" spans="1:1">
      <c r="A86" s="236"/>
    </row>
    <row r="87" spans="1:1">
      <c r="A87" s="236"/>
    </row>
    <row r="88" spans="1:1">
      <c r="A88" s="236"/>
    </row>
    <row r="89" spans="1:1">
      <c r="A89" s="236"/>
    </row>
    <row r="90" spans="1:1">
      <c r="A90" s="236"/>
    </row>
    <row r="91" spans="1:1">
      <c r="A91" s="236"/>
    </row>
    <row r="92" spans="1:1">
      <c r="A92" s="236"/>
    </row>
    <row r="93" spans="1:1">
      <c r="A93" s="236"/>
    </row>
    <row r="94" spans="1:1">
      <c r="A94" s="236"/>
    </row>
    <row r="95" spans="1:1">
      <c r="A95" s="236"/>
    </row>
    <row r="96" spans="1:1">
      <c r="A96" s="236"/>
    </row>
    <row r="97" spans="1:1">
      <c r="A97" s="236"/>
    </row>
    <row r="98" spans="1:1">
      <c r="A98" s="236"/>
    </row>
    <row r="99" spans="1:1">
      <c r="A99" s="236"/>
    </row>
    <row r="100" spans="1:1">
      <c r="A100" s="236"/>
    </row>
    <row r="101" spans="1:1">
      <c r="A101" s="236"/>
    </row>
    <row r="102" spans="1:1">
      <c r="A102" s="236"/>
    </row>
    <row r="103" spans="1:1">
      <c r="A103" s="236"/>
    </row>
    <row r="104" spans="1:1">
      <c r="A104" s="236"/>
    </row>
    <row r="105" spans="1:1">
      <c r="A105" s="236"/>
    </row>
    <row r="106" spans="1:1">
      <c r="A106" s="236"/>
    </row>
    <row r="107" spans="1:1">
      <c r="A107" s="236"/>
    </row>
    <row r="108" spans="1:1">
      <c r="A108" s="236"/>
    </row>
    <row r="109" spans="1:1">
      <c r="A109" s="236"/>
    </row>
    <row r="110" spans="1:1">
      <c r="A110" s="236"/>
    </row>
    <row r="111" spans="1:1">
      <c r="A111" s="236"/>
    </row>
    <row r="112" spans="1:1">
      <c r="A112" s="236"/>
    </row>
    <row r="113" spans="1:1">
      <c r="A113" s="236"/>
    </row>
    <row r="114" spans="1:1">
      <c r="A114" s="236"/>
    </row>
    <row r="115" spans="1:1">
      <c r="A115" s="236"/>
    </row>
    <row r="116" spans="1:1">
      <c r="A116" s="236"/>
    </row>
    <row r="117" spans="1:1">
      <c r="A117" s="236"/>
    </row>
    <row r="118" spans="1:1">
      <c r="A118" s="236"/>
    </row>
    <row r="119" spans="1:1">
      <c r="A119" s="236"/>
    </row>
    <row r="120" spans="1:1">
      <c r="A120" s="236"/>
    </row>
    <row r="121" spans="1:1">
      <c r="A121" s="236"/>
    </row>
    <row r="122" spans="1:1">
      <c r="A122" s="236"/>
    </row>
    <row r="123" spans="1:1">
      <c r="A123" s="236"/>
    </row>
    <row r="124" spans="1:1">
      <c r="A124" s="236"/>
    </row>
    <row r="125" spans="1:1">
      <c r="A125" s="236"/>
    </row>
    <row r="126" spans="1:1">
      <c r="A126" s="236"/>
    </row>
    <row r="127" spans="1:1">
      <c r="A127" s="236"/>
    </row>
    <row r="128" spans="1:1">
      <c r="A128" s="236"/>
    </row>
    <row r="129" spans="1:1">
      <c r="A129" s="236"/>
    </row>
    <row r="130" spans="1:1">
      <c r="A130" s="236"/>
    </row>
    <row r="131" spans="1:1">
      <c r="A131" s="236"/>
    </row>
    <row r="132" spans="1:1">
      <c r="A132" s="236"/>
    </row>
    <row r="133" spans="1:1">
      <c r="A133" s="236"/>
    </row>
    <row r="134" spans="1:1">
      <c r="A134" s="236"/>
    </row>
    <row r="135" spans="1:1">
      <c r="A135" s="236"/>
    </row>
    <row r="136" spans="1:1">
      <c r="A136" s="236"/>
    </row>
    <row r="137" spans="1:1">
      <c r="A137" s="236"/>
    </row>
    <row r="138" spans="1:1">
      <c r="A138" s="236"/>
    </row>
    <row r="139" spans="1:1">
      <c r="A139" s="236"/>
    </row>
    <row r="140" spans="1:1">
      <c r="A140" s="236"/>
    </row>
    <row r="141" spans="1:1">
      <c r="A141" s="236"/>
    </row>
    <row r="142" spans="1:1">
      <c r="A142" s="236"/>
    </row>
    <row r="143" spans="1:1">
      <c r="A143" s="236"/>
    </row>
    <row r="144" spans="1:1">
      <c r="A144" s="236"/>
    </row>
    <row r="145" spans="1:1">
      <c r="A145" s="236"/>
    </row>
    <row r="146" spans="1:1">
      <c r="A146" s="236"/>
    </row>
    <row r="147" spans="1:1">
      <c r="A147" s="236"/>
    </row>
    <row r="148" spans="1:1">
      <c r="A148" s="236"/>
    </row>
    <row r="149" spans="1:1">
      <c r="A149" s="236"/>
    </row>
    <row r="150" spans="1:1">
      <c r="A150" s="236"/>
    </row>
    <row r="151" spans="1:1">
      <c r="A151" s="236"/>
    </row>
    <row r="152" spans="1:1">
      <c r="A152" s="236"/>
    </row>
    <row r="153" spans="1:1">
      <c r="A153" s="236"/>
    </row>
    <row r="154" spans="1:1">
      <c r="A154" s="236"/>
    </row>
    <row r="155" spans="1:1">
      <c r="A155" s="236"/>
    </row>
    <row r="156" spans="1:1">
      <c r="A156" s="236"/>
    </row>
    <row r="157" spans="1:1">
      <c r="A157" s="236"/>
    </row>
    <row r="158" spans="1:1">
      <c r="A158" s="236"/>
    </row>
    <row r="159" spans="1:1">
      <c r="A159" s="236"/>
    </row>
    <row r="160" spans="1:1">
      <c r="A160" s="236"/>
    </row>
    <row r="161" spans="1:1">
      <c r="A161" s="236"/>
    </row>
    <row r="162" spans="1:1">
      <c r="A162" s="236"/>
    </row>
    <row r="163" spans="1:1">
      <c r="A163" s="236"/>
    </row>
    <row r="164" spans="1:1">
      <c r="A164" s="236"/>
    </row>
    <row r="165" spans="1:1">
      <c r="A165" s="236"/>
    </row>
    <row r="166" spans="1:1">
      <c r="A166" s="236"/>
    </row>
    <row r="167" spans="1:1">
      <c r="A167" s="236"/>
    </row>
    <row r="168" spans="1:1">
      <c r="A168" s="236"/>
    </row>
    <row r="169" spans="1:1">
      <c r="A169" s="236"/>
    </row>
    <row r="170" spans="1:1">
      <c r="A170" s="236"/>
    </row>
    <row r="171" spans="1:1">
      <c r="A171" s="236"/>
    </row>
    <row r="172" spans="1:1">
      <c r="A172" s="236"/>
    </row>
    <row r="173" spans="1:1">
      <c r="A173" s="236"/>
    </row>
    <row r="174" spans="1:1">
      <c r="A174" s="236"/>
    </row>
    <row r="175" spans="1:1">
      <c r="A175" s="236"/>
    </row>
    <row r="176" spans="1:1">
      <c r="A176" s="236"/>
    </row>
    <row r="177" spans="1:1">
      <c r="A177" s="236"/>
    </row>
    <row r="178" spans="1:1">
      <c r="A178" s="236"/>
    </row>
    <row r="179" spans="1:1">
      <c r="A179" s="236"/>
    </row>
    <row r="180" spans="1:1">
      <c r="A180" s="236"/>
    </row>
    <row r="181" spans="1:1">
      <c r="A181" s="236"/>
    </row>
    <row r="182" spans="1:1">
      <c r="A182" s="236"/>
    </row>
    <row r="183" spans="1:1">
      <c r="A183" s="236"/>
    </row>
    <row r="184" spans="1:1">
      <c r="A184" s="236"/>
    </row>
    <row r="185" spans="1:1">
      <c r="A185" s="236"/>
    </row>
    <row r="186" spans="1:1">
      <c r="A186" s="236"/>
    </row>
    <row r="187" spans="1:1">
      <c r="A187" s="236"/>
    </row>
    <row r="188" spans="1:1">
      <c r="A188" s="236"/>
    </row>
    <row r="189" spans="1:1">
      <c r="A189" s="236"/>
    </row>
    <row r="190" spans="1:1">
      <c r="A190" s="236"/>
    </row>
    <row r="191" spans="1:1">
      <c r="A191" s="236"/>
    </row>
    <row r="192" spans="1:1">
      <c r="A192" s="236"/>
    </row>
    <row r="193" spans="1:1">
      <c r="A193" s="236"/>
    </row>
    <row r="194" spans="1:1">
      <c r="A194" s="236"/>
    </row>
    <row r="195" spans="1:1">
      <c r="A195" s="236"/>
    </row>
    <row r="196" spans="1:1">
      <c r="A196" s="236"/>
    </row>
    <row r="197" spans="1:1">
      <c r="A197" s="236"/>
    </row>
    <row r="198" spans="1:1">
      <c r="A198" s="236"/>
    </row>
    <row r="199" spans="1:1">
      <c r="A199" s="236"/>
    </row>
    <row r="200" spans="1:1">
      <c r="A200" s="236"/>
    </row>
    <row r="201" spans="1:1">
      <c r="A201" s="236"/>
    </row>
    <row r="202" spans="1:1">
      <c r="A202" s="236"/>
    </row>
    <row r="203" spans="1:1">
      <c r="A203" s="236"/>
    </row>
    <row r="204" spans="1:1">
      <c r="A204" s="236"/>
    </row>
    <row r="205" spans="1:1">
      <c r="A205" s="236"/>
    </row>
    <row r="206" spans="1:1">
      <c r="A206" s="236"/>
    </row>
    <row r="207" spans="1:1">
      <c r="A207" s="236"/>
    </row>
    <row r="208" spans="1:1">
      <c r="A208" s="236"/>
    </row>
    <row r="209" spans="1:1">
      <c r="A209" s="236"/>
    </row>
    <row r="210" spans="1:1">
      <c r="A210" s="236"/>
    </row>
    <row r="211" spans="1:1">
      <c r="A211" s="236"/>
    </row>
    <row r="212" spans="1:1">
      <c r="A212" s="236"/>
    </row>
    <row r="213" spans="1:1">
      <c r="A213" s="236"/>
    </row>
    <row r="214" spans="1:1">
      <c r="A214" s="236"/>
    </row>
    <row r="215" spans="1:1">
      <c r="A215" s="236"/>
    </row>
    <row r="216" spans="1:1">
      <c r="A216" s="236"/>
    </row>
    <row r="217" spans="1:1">
      <c r="A217" s="236"/>
    </row>
    <row r="218" spans="1:1">
      <c r="A218" s="236"/>
    </row>
    <row r="219" spans="1:1">
      <c r="A219" s="236"/>
    </row>
    <row r="220" spans="1:1">
      <c r="A220" s="236"/>
    </row>
    <row r="221" spans="1:1">
      <c r="A221" s="236"/>
    </row>
    <row r="222" spans="1:1">
      <c r="A222" s="236"/>
    </row>
    <row r="223" spans="1:1">
      <c r="A223" s="236"/>
    </row>
    <row r="224" spans="1:1">
      <c r="A224" s="236"/>
    </row>
    <row r="225" spans="1:1">
      <c r="A225" s="236"/>
    </row>
    <row r="226" spans="1:1">
      <c r="A226" s="236"/>
    </row>
    <row r="227" spans="1:1">
      <c r="A227" s="236"/>
    </row>
    <row r="228" spans="1:1">
      <c r="A228" s="236"/>
    </row>
    <row r="229" spans="1:1">
      <c r="A229" s="236"/>
    </row>
    <row r="230" spans="1:1">
      <c r="A230" s="236"/>
    </row>
    <row r="231" spans="1:1">
      <c r="A231" s="236"/>
    </row>
    <row r="232" spans="1:1">
      <c r="A232" s="236"/>
    </row>
    <row r="233" spans="1:1">
      <c r="A233" s="236"/>
    </row>
    <row r="234" spans="1:1">
      <c r="A234" s="236"/>
    </row>
    <row r="235" spans="1:1">
      <c r="A235" s="236"/>
    </row>
    <row r="236" spans="1:1">
      <c r="A236" s="236"/>
    </row>
    <row r="237" spans="1:1">
      <c r="A237" s="236"/>
    </row>
    <row r="238" spans="1:1">
      <c r="A238" s="236"/>
    </row>
    <row r="239" spans="1:1">
      <c r="A239" s="236"/>
    </row>
    <row r="240" spans="1:1">
      <c r="A240" s="236"/>
    </row>
    <row r="241" spans="1:1">
      <c r="A241" s="236"/>
    </row>
    <row r="242" spans="1:1">
      <c r="A242" s="236"/>
    </row>
    <row r="243" spans="1:1">
      <c r="A243" s="236"/>
    </row>
    <row r="244" spans="1:1">
      <c r="A244" s="236"/>
    </row>
    <row r="245" spans="1:1">
      <c r="A245" s="236"/>
    </row>
    <row r="246" spans="1:1">
      <c r="A246" s="236"/>
    </row>
    <row r="247" spans="1:1">
      <c r="A247" s="236"/>
    </row>
    <row r="248" spans="1:1">
      <c r="A248" s="236"/>
    </row>
    <row r="249" spans="1:1">
      <c r="A249" s="236"/>
    </row>
    <row r="250" spans="1:1">
      <c r="A250" s="236"/>
    </row>
    <row r="251" spans="1:1">
      <c r="A251" s="236"/>
    </row>
    <row r="252" spans="1:1">
      <c r="A252" s="236"/>
    </row>
    <row r="253" spans="1:1">
      <c r="A253" s="236"/>
    </row>
    <row r="254" spans="1:1">
      <c r="A254" s="236"/>
    </row>
    <row r="255" spans="1:1">
      <c r="A255" s="236"/>
    </row>
    <row r="256" spans="1:1">
      <c r="A256" s="236"/>
    </row>
    <row r="257" spans="1:1">
      <c r="A257" s="236"/>
    </row>
    <row r="258" spans="1:1">
      <c r="A258" s="236"/>
    </row>
    <row r="259" spans="1:1">
      <c r="A259" s="236"/>
    </row>
    <row r="260" spans="1:1">
      <c r="A260" s="236"/>
    </row>
    <row r="261" spans="1:1">
      <c r="A261" s="236"/>
    </row>
    <row r="262" spans="1:1">
      <c r="A262" s="236"/>
    </row>
    <row r="263" spans="1:1">
      <c r="A263" s="236"/>
    </row>
    <row r="264" spans="1:1">
      <c r="A264" s="236"/>
    </row>
    <row r="265" spans="1:1">
      <c r="A265" s="236"/>
    </row>
    <row r="266" spans="1:1">
      <c r="A266" s="236"/>
    </row>
    <row r="267" spans="1:1">
      <c r="A267" s="236"/>
    </row>
    <row r="268" spans="1:1">
      <c r="A268" s="236"/>
    </row>
    <row r="269" spans="1:1">
      <c r="A269" s="236"/>
    </row>
    <row r="270" spans="1:1">
      <c r="A270" s="236"/>
    </row>
    <row r="271" spans="1:1">
      <c r="A271" s="236"/>
    </row>
    <row r="272" spans="1:1">
      <c r="A272" s="236"/>
    </row>
    <row r="273" spans="1:1">
      <c r="A273" s="236"/>
    </row>
    <row r="274" spans="1:1">
      <c r="A274" s="236"/>
    </row>
    <row r="275" spans="1:1">
      <c r="A275" s="236"/>
    </row>
    <row r="276" spans="1:1">
      <c r="A276" s="236"/>
    </row>
    <row r="277" spans="1:1">
      <c r="A277" s="236"/>
    </row>
    <row r="278" spans="1:1">
      <c r="A278" s="236"/>
    </row>
    <row r="279" spans="1:1">
      <c r="A279" s="236"/>
    </row>
    <row r="280" spans="1:1">
      <c r="A280" s="236"/>
    </row>
    <row r="281" spans="1:1">
      <c r="A281" s="236"/>
    </row>
    <row r="282" spans="1:1">
      <c r="A282" s="236"/>
    </row>
    <row r="283" spans="1:1">
      <c r="A283" s="236"/>
    </row>
    <row r="284" spans="1:1">
      <c r="A284" s="236"/>
    </row>
    <row r="285" spans="1:1">
      <c r="A285" s="236"/>
    </row>
    <row r="286" spans="1:1">
      <c r="A286" s="236"/>
    </row>
    <row r="287" spans="1:1">
      <c r="A287" s="236"/>
    </row>
    <row r="288" spans="1:1">
      <c r="A288" s="236"/>
    </row>
    <row r="289" spans="1:1">
      <c r="A289" s="236"/>
    </row>
    <row r="290" spans="1:1">
      <c r="A290" s="236"/>
    </row>
    <row r="291" spans="1:1">
      <c r="A291" s="236"/>
    </row>
    <row r="292" spans="1:1">
      <c r="A292" s="236"/>
    </row>
    <row r="293" spans="1:1">
      <c r="A293" s="236"/>
    </row>
    <row r="294" spans="1:1">
      <c r="A294" s="236"/>
    </row>
    <row r="295" spans="1:1">
      <c r="A295" s="236"/>
    </row>
    <row r="296" spans="1:1">
      <c r="A296" s="236"/>
    </row>
    <row r="297" spans="1:1">
      <c r="A297" s="236"/>
    </row>
    <row r="298" spans="1:1">
      <c r="A298" s="236"/>
    </row>
    <row r="299" spans="1:1">
      <c r="A299" s="236"/>
    </row>
    <row r="300" spans="1:1">
      <c r="A300" s="236"/>
    </row>
    <row r="301" spans="1:1">
      <c r="A301" s="236"/>
    </row>
    <row r="302" spans="1:1">
      <c r="A302" s="236"/>
    </row>
    <row r="303" spans="1:1">
      <c r="A303" s="236"/>
    </row>
    <row r="304" spans="1:1">
      <c r="A304" s="236"/>
    </row>
    <row r="305" spans="1:1">
      <c r="A305" s="236"/>
    </row>
    <row r="306" spans="1:1">
      <c r="A306" s="236"/>
    </row>
    <row r="307" spans="1:1">
      <c r="A307" s="236"/>
    </row>
    <row r="308" spans="1:1">
      <c r="A308" s="236"/>
    </row>
    <row r="309" spans="1:1">
      <c r="A309" s="236"/>
    </row>
    <row r="310" spans="1:1">
      <c r="A310" s="236"/>
    </row>
    <row r="311" spans="1:1">
      <c r="A311" s="236"/>
    </row>
    <row r="312" spans="1:1">
      <c r="A312" s="236"/>
    </row>
    <row r="313" spans="1:1">
      <c r="A313" s="236"/>
    </row>
    <row r="314" spans="1:1">
      <c r="A314" s="236"/>
    </row>
    <row r="315" spans="1:1">
      <c r="A315" s="236"/>
    </row>
    <row r="316" spans="1:1">
      <c r="A316" s="236"/>
    </row>
    <row r="317" spans="1:1">
      <c r="A317" s="236"/>
    </row>
    <row r="318" spans="1:1">
      <c r="A318" s="236"/>
    </row>
    <row r="319" spans="1:1">
      <c r="A319" s="236"/>
    </row>
    <row r="320" spans="1:1">
      <c r="A320" s="236"/>
    </row>
    <row r="321" spans="1:1">
      <c r="A321" s="236"/>
    </row>
    <row r="322" spans="1:1">
      <c r="A322" s="236"/>
    </row>
    <row r="323" spans="1:1">
      <c r="A323" s="236"/>
    </row>
    <row r="324" spans="1:1">
      <c r="A324" s="236"/>
    </row>
    <row r="325" spans="1:1">
      <c r="A325" s="236"/>
    </row>
    <row r="326" spans="1:1">
      <c r="A326" s="236"/>
    </row>
    <row r="327" spans="1:1">
      <c r="A327" s="236"/>
    </row>
    <row r="328" spans="1:1">
      <c r="A328" s="236"/>
    </row>
    <row r="329" spans="1:1">
      <c r="A329" s="236"/>
    </row>
    <row r="330" spans="1:1">
      <c r="A330" s="236"/>
    </row>
    <row r="331" spans="1:1">
      <c r="A331" s="236"/>
    </row>
    <row r="332" spans="1:1">
      <c r="A332" s="236"/>
    </row>
    <row r="333" spans="1:1">
      <c r="A333" s="236"/>
    </row>
    <row r="334" spans="1:1">
      <c r="A334" s="236"/>
    </row>
    <row r="335" spans="1:1">
      <c r="A335" s="236"/>
    </row>
    <row r="336" spans="1:1">
      <c r="A336" s="236"/>
    </row>
    <row r="337" spans="1:1">
      <c r="A337" s="236"/>
    </row>
    <row r="338" spans="1:1">
      <c r="A338" s="236"/>
    </row>
    <row r="339" spans="1:1">
      <c r="A339" s="236"/>
    </row>
    <row r="340" spans="1:1">
      <c r="A340" s="236"/>
    </row>
    <row r="341" spans="1:1">
      <c r="A341" s="236"/>
    </row>
    <row r="342" spans="1:1">
      <c r="A342" s="236"/>
    </row>
    <row r="343" spans="1:1">
      <c r="A343" s="236"/>
    </row>
    <row r="344" spans="1:1">
      <c r="A344" s="236"/>
    </row>
    <row r="345" spans="1:1">
      <c r="A345" s="236"/>
    </row>
    <row r="346" spans="1:1">
      <c r="A346" s="236"/>
    </row>
    <row r="347" spans="1:1">
      <c r="A347" s="236"/>
    </row>
    <row r="348" spans="1:1">
      <c r="A348" s="236"/>
    </row>
    <row r="349" spans="1:1">
      <c r="A349" s="236"/>
    </row>
    <row r="350" spans="1:1">
      <c r="A350" s="236"/>
    </row>
    <row r="351" spans="1:1">
      <c r="A351" s="236"/>
    </row>
    <row r="352" spans="1:1">
      <c r="A352" s="236"/>
    </row>
    <row r="353" spans="1:1">
      <c r="A353" s="236"/>
    </row>
    <row r="354" spans="1:1">
      <c r="A354" s="236"/>
    </row>
    <row r="355" spans="1:1">
      <c r="A355" s="236"/>
    </row>
    <row r="356" spans="1:1">
      <c r="A356" s="236"/>
    </row>
    <row r="357" spans="1:1">
      <c r="A357" s="236"/>
    </row>
    <row r="358" spans="1:1">
      <c r="A358" s="236"/>
    </row>
    <row r="359" spans="1:1">
      <c r="A359" s="236"/>
    </row>
    <row r="360" spans="1:1">
      <c r="A360" s="236"/>
    </row>
    <row r="361" spans="1:1">
      <c r="A361" s="236"/>
    </row>
    <row r="362" spans="1:1">
      <c r="A362" s="236"/>
    </row>
    <row r="363" spans="1:1">
      <c r="A363" s="236"/>
    </row>
    <row r="364" spans="1:1">
      <c r="A364" s="236"/>
    </row>
    <row r="365" spans="1:1">
      <c r="A365" s="236"/>
    </row>
    <row r="366" spans="1:1">
      <c r="A366" s="236"/>
    </row>
    <row r="367" spans="1:1">
      <c r="A367" s="236"/>
    </row>
    <row r="368" spans="1:1">
      <c r="A368" s="236"/>
    </row>
    <row r="369" spans="1:1">
      <c r="A369" s="236"/>
    </row>
    <row r="370" spans="1:1">
      <c r="A370" s="236"/>
    </row>
    <row r="371" spans="1:1">
      <c r="A371" s="236"/>
    </row>
    <row r="372" spans="1:1">
      <c r="A372" s="236"/>
    </row>
    <row r="373" spans="1:1">
      <c r="A373" s="236"/>
    </row>
    <row r="374" spans="1:1">
      <c r="A374" s="236"/>
    </row>
    <row r="375" spans="1:1">
      <c r="A375" s="236"/>
    </row>
    <row r="376" spans="1:1">
      <c r="A376" s="236"/>
    </row>
    <row r="377" spans="1:1">
      <c r="A377" s="236"/>
    </row>
    <row r="378" spans="1:1">
      <c r="A378" s="236"/>
    </row>
    <row r="379" spans="1:1">
      <c r="A379" s="236"/>
    </row>
    <row r="380" spans="1:1">
      <c r="A380" s="236"/>
    </row>
    <row r="381" spans="1:1">
      <c r="A381" s="236"/>
    </row>
    <row r="382" spans="1:1">
      <c r="A382" s="236"/>
    </row>
    <row r="383" spans="1:1">
      <c r="A383" s="236"/>
    </row>
    <row r="384" spans="1:1">
      <c r="A384" s="236"/>
    </row>
    <row r="385" spans="1:1">
      <c r="A385" s="236"/>
    </row>
    <row r="386" spans="1:1">
      <c r="A386" s="236"/>
    </row>
    <row r="387" spans="1:1">
      <c r="A387" s="236"/>
    </row>
    <row r="388" spans="1:1">
      <c r="A388" s="236"/>
    </row>
    <row r="389" spans="1:1">
      <c r="A389" s="236"/>
    </row>
    <row r="390" spans="1:1">
      <c r="A390" s="236"/>
    </row>
    <row r="391" spans="1:1">
      <c r="A391" s="236"/>
    </row>
    <row r="392" spans="1:1">
      <c r="A392" s="236"/>
    </row>
    <row r="393" spans="1:1">
      <c r="A393" s="236"/>
    </row>
    <row r="394" spans="1:1">
      <c r="A394" s="236"/>
    </row>
    <row r="395" spans="1:1">
      <c r="A395" s="236"/>
    </row>
    <row r="396" spans="1:1">
      <c r="A396" s="236"/>
    </row>
    <row r="397" spans="1:1">
      <c r="A397" s="236"/>
    </row>
    <row r="398" spans="1:1">
      <c r="A398" s="236"/>
    </row>
    <row r="399" spans="1:1">
      <c r="A399" s="236"/>
    </row>
    <row r="400" spans="1:1">
      <c r="A400" s="236"/>
    </row>
    <row r="401" spans="1:1">
      <c r="A401" s="236"/>
    </row>
    <row r="402" spans="1:1">
      <c r="A402" s="236"/>
    </row>
    <row r="403" spans="1:1">
      <c r="A403" s="236"/>
    </row>
    <row r="404" spans="1:1">
      <c r="A404" s="236"/>
    </row>
    <row r="405" spans="1:1">
      <c r="A405" s="236"/>
    </row>
    <row r="406" spans="1:1">
      <c r="A406" s="236"/>
    </row>
    <row r="407" spans="1:1">
      <c r="A407" s="236"/>
    </row>
    <row r="408" spans="1:1">
      <c r="A408" s="236"/>
    </row>
    <row r="409" spans="1:1">
      <c r="A409" s="236"/>
    </row>
    <row r="410" spans="1:1">
      <c r="A410" s="236"/>
    </row>
    <row r="411" spans="1:1">
      <c r="A411" s="236"/>
    </row>
    <row r="412" spans="1:1">
      <c r="A412" s="236"/>
    </row>
    <row r="413" spans="1:1">
      <c r="A413" s="236"/>
    </row>
    <row r="414" spans="1:1">
      <c r="A414" s="236"/>
    </row>
    <row r="415" spans="1:1">
      <c r="A415" s="236"/>
    </row>
    <row r="416" spans="1:1">
      <c r="A416" s="236"/>
    </row>
    <row r="417" spans="1:1">
      <c r="A417" s="236"/>
    </row>
    <row r="418" spans="1:1">
      <c r="A418" s="236"/>
    </row>
    <row r="419" spans="1:1">
      <c r="A419" s="236"/>
    </row>
    <row r="420" spans="1:1">
      <c r="A420" s="236"/>
    </row>
    <row r="421" spans="1:1">
      <c r="A421" s="236"/>
    </row>
    <row r="422" spans="1:1">
      <c r="A422" s="236"/>
    </row>
    <row r="423" spans="1:1">
      <c r="A423" s="236"/>
    </row>
    <row r="424" spans="1:1">
      <c r="A424" s="236"/>
    </row>
    <row r="425" spans="1:1">
      <c r="A425" s="236"/>
    </row>
    <row r="426" spans="1:1">
      <c r="A426" s="236"/>
    </row>
    <row r="427" spans="1:1">
      <c r="A427" s="236"/>
    </row>
    <row r="428" spans="1:1">
      <c r="A428" s="236"/>
    </row>
    <row r="429" spans="1:1">
      <c r="A429" s="236"/>
    </row>
    <row r="430" spans="1:1">
      <c r="A430" s="236"/>
    </row>
    <row r="431" spans="1:1">
      <c r="A431" s="236"/>
    </row>
    <row r="432" spans="1:1">
      <c r="A432" s="236"/>
    </row>
    <row r="433" spans="1:1">
      <c r="A433" s="236"/>
    </row>
    <row r="434" spans="1:1">
      <c r="A434" s="236"/>
    </row>
    <row r="435" spans="1:1">
      <c r="A435" s="236"/>
    </row>
    <row r="436" spans="1:1">
      <c r="A436" s="236"/>
    </row>
    <row r="437" spans="1:1">
      <c r="A437" s="236"/>
    </row>
    <row r="438" spans="1:1">
      <c r="A438" s="236"/>
    </row>
    <row r="439" spans="1:1">
      <c r="A439" s="236"/>
    </row>
    <row r="440" spans="1:1">
      <c r="A440" s="236"/>
    </row>
    <row r="441" spans="1:1">
      <c r="A441" s="236"/>
    </row>
    <row r="442" spans="1:1">
      <c r="A442" s="236"/>
    </row>
    <row r="443" spans="1:1">
      <c r="A443" s="236"/>
    </row>
    <row r="444" spans="1:1">
      <c r="A444" s="236"/>
    </row>
    <row r="445" spans="1:1">
      <c r="A445" s="236"/>
    </row>
    <row r="446" spans="1:1">
      <c r="A446" s="236"/>
    </row>
    <row r="447" spans="1:1">
      <c r="A447" s="236"/>
    </row>
    <row r="448" spans="1:1">
      <c r="A448" s="236"/>
    </row>
    <row r="449" spans="1:1">
      <c r="A449" s="236"/>
    </row>
    <row r="450" spans="1:1">
      <c r="A450" s="236"/>
    </row>
    <row r="451" spans="1:1">
      <c r="A451" s="236"/>
    </row>
    <row r="452" spans="1:1">
      <c r="A452" s="236"/>
    </row>
    <row r="453" spans="1:1">
      <c r="A453" s="236"/>
    </row>
    <row r="454" spans="1:1">
      <c r="A454" s="236"/>
    </row>
    <row r="455" spans="1:1">
      <c r="A455" s="236"/>
    </row>
    <row r="456" spans="1:1">
      <c r="A456" s="236"/>
    </row>
    <row r="457" spans="1:1">
      <c r="A457" s="236"/>
    </row>
    <row r="458" spans="1:1">
      <c r="A458" s="236"/>
    </row>
    <row r="459" spans="1:1">
      <c r="A459" s="236"/>
    </row>
    <row r="460" spans="1:1">
      <c r="A460" s="236"/>
    </row>
    <row r="461" spans="1:1">
      <c r="A461" s="236"/>
    </row>
    <row r="462" spans="1:1">
      <c r="A462" s="236"/>
    </row>
    <row r="463" spans="1:1">
      <c r="A463" s="236"/>
    </row>
    <row r="464" spans="1:1">
      <c r="A464" s="236"/>
    </row>
    <row r="465" spans="1:1">
      <c r="A465" s="236"/>
    </row>
    <row r="466" spans="1:1">
      <c r="A466" s="236"/>
    </row>
    <row r="467" spans="1:1">
      <c r="A467" s="236"/>
    </row>
    <row r="468" spans="1:1">
      <c r="A468" s="236"/>
    </row>
    <row r="469" spans="1:1">
      <c r="A469" s="236"/>
    </row>
    <row r="470" spans="1:1">
      <c r="A470" s="236"/>
    </row>
    <row r="471" spans="1:1">
      <c r="A471" s="236"/>
    </row>
    <row r="472" spans="1:1">
      <c r="A472" s="236"/>
    </row>
    <row r="473" spans="1:1">
      <c r="A473" s="236"/>
    </row>
    <row r="474" spans="1:1">
      <c r="A474" s="236"/>
    </row>
    <row r="475" spans="1:1">
      <c r="A475" s="236"/>
    </row>
    <row r="476" spans="1:1">
      <c r="A476" s="236"/>
    </row>
    <row r="477" spans="1:1">
      <c r="A477" s="236"/>
    </row>
    <row r="478" spans="1:1">
      <c r="A478" s="236"/>
    </row>
    <row r="479" spans="1:1">
      <c r="A479" s="236"/>
    </row>
    <row r="480" spans="1:1">
      <c r="A480" s="236"/>
    </row>
    <row r="481" spans="1:1">
      <c r="A481" s="236"/>
    </row>
    <row r="482" spans="1:1">
      <c r="A482" s="236"/>
    </row>
    <row r="483" spans="1:1">
      <c r="A483" s="236"/>
    </row>
    <row r="484" spans="1:1">
      <c r="A484" s="236"/>
    </row>
    <row r="485" spans="1:1">
      <c r="A485" s="236"/>
    </row>
    <row r="486" spans="1:1">
      <c r="A486" s="236"/>
    </row>
    <row r="487" spans="1:1">
      <c r="A487" s="236"/>
    </row>
    <row r="488" spans="1:1">
      <c r="A488" s="236"/>
    </row>
    <row r="489" spans="1:1">
      <c r="A489" s="236"/>
    </row>
    <row r="490" spans="1:1">
      <c r="A490" s="236"/>
    </row>
    <row r="491" spans="1:1">
      <c r="A491" s="236"/>
    </row>
    <row r="492" spans="1:1">
      <c r="A492" s="236"/>
    </row>
    <row r="493" spans="1:1">
      <c r="A493" s="236"/>
    </row>
    <row r="494" spans="1:1">
      <c r="A494" s="236"/>
    </row>
    <row r="495" spans="1:1">
      <c r="A495" s="236"/>
    </row>
    <row r="496" spans="1:1">
      <c r="A496" s="236"/>
    </row>
    <row r="497" spans="1:1">
      <c r="A497" s="236"/>
    </row>
    <row r="498" spans="1:1">
      <c r="A498" s="236"/>
    </row>
    <row r="499" spans="1:1">
      <c r="A499" s="236"/>
    </row>
    <row r="500" spans="1:1">
      <c r="A500" s="236"/>
    </row>
    <row r="501" spans="1:1">
      <c r="A501" s="236"/>
    </row>
    <row r="502" spans="1:1">
      <c r="A502" s="236"/>
    </row>
    <row r="503" spans="1:1">
      <c r="A503" s="236"/>
    </row>
    <row r="504" spans="1:1">
      <c r="A504" s="236"/>
    </row>
    <row r="505" spans="1:1">
      <c r="A505" s="236"/>
    </row>
    <row r="506" spans="1:1">
      <c r="A506" s="236"/>
    </row>
    <row r="507" spans="1:1">
      <c r="A507" s="236"/>
    </row>
    <row r="508" spans="1:1">
      <c r="A508" s="236"/>
    </row>
    <row r="509" spans="1:1">
      <c r="A509" s="236"/>
    </row>
    <row r="510" spans="1:1">
      <c r="A510" s="236"/>
    </row>
    <row r="511" spans="1:1">
      <c r="A511" s="236"/>
    </row>
    <row r="512" spans="1:1">
      <c r="A512" s="236"/>
    </row>
    <row r="513" spans="1:1">
      <c r="A513" s="236"/>
    </row>
    <row r="514" spans="1:1">
      <c r="A514" s="236"/>
    </row>
    <row r="515" spans="1:1">
      <c r="A515" s="236"/>
    </row>
    <row r="516" spans="1:1">
      <c r="A516" s="236"/>
    </row>
    <row r="517" spans="1:1">
      <c r="A517" s="236"/>
    </row>
    <row r="518" spans="1:1">
      <c r="A518" s="236"/>
    </row>
    <row r="519" spans="1:1">
      <c r="A519" s="236"/>
    </row>
    <row r="520" spans="1:1">
      <c r="A520" s="236"/>
    </row>
    <row r="521" spans="1:1">
      <c r="A521" s="236"/>
    </row>
    <row r="522" spans="1:1">
      <c r="A522" s="236"/>
    </row>
    <row r="523" spans="1:1">
      <c r="A523" s="236"/>
    </row>
    <row r="524" spans="1:1">
      <c r="A524" s="236"/>
    </row>
    <row r="525" spans="1:1">
      <c r="A525" s="236"/>
    </row>
    <row r="526" spans="1:1">
      <c r="A526" s="236"/>
    </row>
    <row r="527" spans="1:1">
      <c r="A527" s="236"/>
    </row>
    <row r="528" spans="1:1">
      <c r="A528" s="236"/>
    </row>
    <row r="529" spans="1:1">
      <c r="A529" s="236"/>
    </row>
    <row r="530" spans="1:1">
      <c r="A530" s="236"/>
    </row>
    <row r="531" spans="1:1">
      <c r="A531" s="236"/>
    </row>
    <row r="532" spans="1:1">
      <c r="A532" s="236"/>
    </row>
    <row r="533" spans="1:1">
      <c r="A533" s="236"/>
    </row>
    <row r="534" spans="1:1">
      <c r="A534" s="236"/>
    </row>
    <row r="535" spans="1:1">
      <c r="A535" s="236"/>
    </row>
    <row r="536" spans="1:1">
      <c r="A536" s="236"/>
    </row>
    <row r="537" spans="1:1">
      <c r="A537" s="236"/>
    </row>
    <row r="538" spans="1:1">
      <c r="A538" s="236"/>
    </row>
    <row r="539" spans="1:1">
      <c r="A539" s="236"/>
    </row>
    <row r="540" spans="1:1">
      <c r="A540" s="236"/>
    </row>
    <row r="541" spans="1:1">
      <c r="A541" s="236"/>
    </row>
    <row r="542" spans="1:1">
      <c r="A542" s="236"/>
    </row>
    <row r="543" spans="1:1">
      <c r="A543" s="236"/>
    </row>
    <row r="544" spans="1:1">
      <c r="A544" s="236"/>
    </row>
    <row r="545" spans="1:1">
      <c r="A545" s="236"/>
    </row>
    <row r="546" spans="1:1">
      <c r="A546" s="236"/>
    </row>
    <row r="547" spans="1:1">
      <c r="A547" s="236"/>
    </row>
    <row r="548" spans="1:1">
      <c r="A548" s="236"/>
    </row>
    <row r="549" spans="1:1">
      <c r="A549" s="236"/>
    </row>
    <row r="550" spans="1:1">
      <c r="A550" s="236"/>
    </row>
    <row r="551" spans="1:1">
      <c r="A551" s="236"/>
    </row>
    <row r="552" spans="1:1">
      <c r="A552" s="236"/>
    </row>
    <row r="553" spans="1:1">
      <c r="A553" s="236"/>
    </row>
    <row r="554" spans="1:1">
      <c r="A554" s="236"/>
    </row>
    <row r="555" spans="1:1">
      <c r="A555" s="236"/>
    </row>
    <row r="556" spans="1:1">
      <c r="A556" s="236"/>
    </row>
    <row r="557" spans="1:1">
      <c r="A557" s="236"/>
    </row>
    <row r="558" spans="1:1">
      <c r="A558" s="236"/>
    </row>
    <row r="559" spans="1:1">
      <c r="A559" s="236"/>
    </row>
    <row r="560" spans="1:1">
      <c r="A560" s="236"/>
    </row>
    <row r="561" spans="1:1">
      <c r="A561" s="236"/>
    </row>
    <row r="562" spans="1:1">
      <c r="A562" s="236"/>
    </row>
    <row r="563" spans="1:1">
      <c r="A563" s="236"/>
    </row>
    <row r="564" spans="1:1">
      <c r="A564" s="236"/>
    </row>
    <row r="565" spans="1:1">
      <c r="A565" s="236"/>
    </row>
    <row r="566" spans="1:1">
      <c r="A566" s="236"/>
    </row>
    <row r="567" spans="1:1">
      <c r="A567" s="236"/>
    </row>
    <row r="568" spans="1:1">
      <c r="A568" s="236"/>
    </row>
    <row r="569" spans="1:1">
      <c r="A569" s="236"/>
    </row>
    <row r="570" spans="1:1">
      <c r="A570" s="236"/>
    </row>
    <row r="571" spans="1:1">
      <c r="A571" s="236"/>
    </row>
    <row r="572" spans="1:1">
      <c r="A572" s="236"/>
    </row>
    <row r="573" spans="1:1">
      <c r="A573" s="236"/>
    </row>
    <row r="574" spans="1:1">
      <c r="A574" s="236"/>
    </row>
    <row r="575" spans="1:1">
      <c r="A575" s="236"/>
    </row>
    <row r="576" spans="1:1">
      <c r="A576" s="236"/>
    </row>
    <row r="577" spans="1:1">
      <c r="A577" s="236"/>
    </row>
    <row r="578" spans="1:1">
      <c r="A578" s="236"/>
    </row>
    <row r="579" spans="1:1">
      <c r="A579" s="236"/>
    </row>
    <row r="580" spans="1:1">
      <c r="A580" s="236"/>
    </row>
    <row r="581" spans="1:1">
      <c r="A581" s="236"/>
    </row>
    <row r="582" spans="1:1">
      <c r="A582" s="236"/>
    </row>
    <row r="583" spans="1:1">
      <c r="A583" s="236"/>
    </row>
    <row r="584" spans="1:1">
      <c r="A584" s="236"/>
    </row>
    <row r="585" spans="1:1">
      <c r="A585" s="236"/>
    </row>
    <row r="586" spans="1:1">
      <c r="A586" s="236"/>
    </row>
    <row r="587" spans="1:1">
      <c r="A587" s="236"/>
    </row>
    <row r="588" spans="1:1">
      <c r="A588" s="236"/>
    </row>
    <row r="589" spans="1:1">
      <c r="A589" s="236"/>
    </row>
    <row r="590" spans="1:1">
      <c r="A590" s="236"/>
    </row>
    <row r="591" spans="1:1">
      <c r="A591" s="236"/>
    </row>
    <row r="592" spans="1:1">
      <c r="A592" s="236"/>
    </row>
    <row r="593" spans="1:1">
      <c r="A593" s="236"/>
    </row>
    <row r="594" spans="1:1">
      <c r="A594" s="236"/>
    </row>
    <row r="595" spans="1:1">
      <c r="A595" s="236"/>
    </row>
    <row r="596" spans="1:1">
      <c r="A596" s="236"/>
    </row>
    <row r="597" spans="1:1">
      <c r="A597" s="236"/>
    </row>
    <row r="598" spans="1:1">
      <c r="A598" s="236"/>
    </row>
    <row r="599" spans="1:1">
      <c r="A599" s="236"/>
    </row>
    <row r="600" spans="1:1">
      <c r="A600" s="236"/>
    </row>
    <row r="601" spans="1:1">
      <c r="A601" s="236"/>
    </row>
    <row r="602" spans="1:1">
      <c r="A602" s="236"/>
    </row>
    <row r="603" spans="1:1">
      <c r="A603" s="236"/>
    </row>
    <row r="604" spans="1:1">
      <c r="A604" s="236"/>
    </row>
    <row r="605" spans="1:1">
      <c r="A605" s="236"/>
    </row>
    <row r="606" spans="1:1">
      <c r="A606" s="236"/>
    </row>
    <row r="607" spans="1:1">
      <c r="A607" s="236"/>
    </row>
    <row r="608" spans="1:1">
      <c r="A608" s="236"/>
    </row>
    <row r="609" spans="1:1">
      <c r="A609" s="236"/>
    </row>
    <row r="610" spans="1:1">
      <c r="A610" s="236"/>
    </row>
    <row r="611" spans="1:1">
      <c r="A611" s="236"/>
    </row>
    <row r="612" spans="1:1">
      <c r="A612" s="236"/>
    </row>
    <row r="613" spans="1:1">
      <c r="A613" s="236"/>
    </row>
    <row r="614" spans="1:1">
      <c r="A614" s="236"/>
    </row>
    <row r="615" spans="1:1">
      <c r="A615" s="236"/>
    </row>
    <row r="616" spans="1:1">
      <c r="A616" s="236"/>
    </row>
    <row r="617" spans="1:1">
      <c r="A617" s="236"/>
    </row>
    <row r="618" spans="1:1">
      <c r="A618" s="236"/>
    </row>
    <row r="619" spans="1:1">
      <c r="A619" s="236"/>
    </row>
    <row r="620" spans="1:1">
      <c r="A620" s="236"/>
    </row>
    <row r="621" spans="1:1">
      <c r="A621" s="236"/>
    </row>
    <row r="622" spans="1:1">
      <c r="A622" s="236"/>
    </row>
    <row r="623" spans="1:1">
      <c r="A623" s="236"/>
    </row>
    <row r="624" spans="1:1">
      <c r="A624" s="236"/>
    </row>
    <row r="625" spans="1:1">
      <c r="A625" s="236"/>
    </row>
    <row r="626" spans="1:1">
      <c r="A626" s="236"/>
    </row>
    <row r="627" spans="1:1">
      <c r="A627" s="236"/>
    </row>
    <row r="628" spans="1:1">
      <c r="A628" s="236"/>
    </row>
    <row r="629" spans="1:1">
      <c r="A629" s="236"/>
    </row>
    <row r="630" spans="1:1">
      <c r="A630" s="236"/>
    </row>
    <row r="631" spans="1:1">
      <c r="A631" s="236"/>
    </row>
    <row r="632" spans="1:1">
      <c r="A632" s="236"/>
    </row>
    <row r="633" spans="1:1">
      <c r="A633" s="236"/>
    </row>
    <row r="634" spans="1:1">
      <c r="A634" s="236"/>
    </row>
    <row r="635" spans="1:1">
      <c r="A635" s="236"/>
    </row>
    <row r="636" spans="1:1">
      <c r="A636" s="236"/>
    </row>
    <row r="637" spans="1:1">
      <c r="A637" s="236"/>
    </row>
    <row r="638" spans="1:1">
      <c r="A638" s="236"/>
    </row>
    <row r="639" spans="1:1">
      <c r="A639" s="236"/>
    </row>
    <row r="640" spans="1:1">
      <c r="A640" s="236"/>
    </row>
    <row r="641" spans="1:1">
      <c r="A641" s="236"/>
    </row>
    <row r="642" spans="1:1">
      <c r="A642" s="236"/>
    </row>
    <row r="643" spans="1:1">
      <c r="A643" s="236"/>
    </row>
    <row r="644" spans="1:1">
      <c r="A644" s="236"/>
    </row>
    <row r="645" spans="1:1">
      <c r="A645" s="236"/>
    </row>
    <row r="646" spans="1:1">
      <c r="A646" s="236"/>
    </row>
    <row r="647" spans="1:1">
      <c r="A647" s="236"/>
    </row>
    <row r="648" spans="1:1">
      <c r="A648" s="236"/>
    </row>
    <row r="649" spans="1:1">
      <c r="A649" s="236"/>
    </row>
    <row r="650" spans="1:1">
      <c r="A650" s="236"/>
    </row>
    <row r="651" spans="1:1">
      <c r="A651" s="236"/>
    </row>
    <row r="652" spans="1:1">
      <c r="A652" s="236"/>
    </row>
    <row r="653" spans="1:1">
      <c r="A653" s="236"/>
    </row>
    <row r="654" spans="1:1">
      <c r="A654" s="236"/>
    </row>
    <row r="655" spans="1:1">
      <c r="A655" s="236"/>
    </row>
    <row r="656" spans="1:1">
      <c r="A656" s="236"/>
    </row>
    <row r="657" spans="1:1">
      <c r="A657" s="236"/>
    </row>
    <row r="658" spans="1:1">
      <c r="A658" s="236"/>
    </row>
    <row r="659" spans="1:1">
      <c r="A659" s="236"/>
    </row>
    <row r="660" spans="1:1">
      <c r="A660" s="236"/>
    </row>
    <row r="661" spans="1:1">
      <c r="A661" s="236"/>
    </row>
    <row r="662" spans="1:1">
      <c r="A662" s="236"/>
    </row>
    <row r="663" spans="1:1">
      <c r="A663" s="236"/>
    </row>
    <row r="664" spans="1:1">
      <c r="A664" s="236"/>
    </row>
    <row r="665" spans="1:1">
      <c r="A665" s="236"/>
    </row>
    <row r="666" spans="1:1">
      <c r="A666" s="236"/>
    </row>
    <row r="667" spans="1:1">
      <c r="A667" s="236"/>
    </row>
    <row r="668" spans="1:1">
      <c r="A668" s="236"/>
    </row>
    <row r="669" spans="1:1">
      <c r="A669" s="236"/>
    </row>
    <row r="670" spans="1:1">
      <c r="A670" s="236"/>
    </row>
    <row r="671" spans="1:1">
      <c r="A671" s="236"/>
    </row>
    <row r="672" spans="1:1">
      <c r="A672" s="236"/>
    </row>
    <row r="673" spans="1:1">
      <c r="A673" s="236"/>
    </row>
    <row r="674" spans="1:1">
      <c r="A674" s="236"/>
    </row>
    <row r="675" spans="1:1">
      <c r="A675" s="236"/>
    </row>
    <row r="676" spans="1:1">
      <c r="A676" s="236"/>
    </row>
    <row r="677" spans="1:1">
      <c r="A677" s="236"/>
    </row>
    <row r="678" spans="1:1">
      <c r="A678" s="236"/>
    </row>
    <row r="679" spans="1:1">
      <c r="A679" s="236"/>
    </row>
    <row r="680" spans="1:1">
      <c r="A680" s="236"/>
    </row>
    <row r="681" spans="1:1">
      <c r="A681" s="236"/>
    </row>
    <row r="682" spans="1:1">
      <c r="A682" s="236"/>
    </row>
    <row r="683" spans="1:1">
      <c r="A683" s="236"/>
    </row>
    <row r="684" spans="1:1">
      <c r="A684" s="236"/>
    </row>
    <row r="685" spans="1:1">
      <c r="A685" s="236"/>
    </row>
    <row r="686" spans="1:1">
      <c r="A686" s="236"/>
    </row>
    <row r="687" spans="1:1">
      <c r="A687" s="236"/>
    </row>
    <row r="688" spans="1:1">
      <c r="A688" s="236"/>
    </row>
    <row r="689" spans="1:1">
      <c r="A689" s="236"/>
    </row>
    <row r="690" spans="1:1">
      <c r="A690" s="236"/>
    </row>
    <row r="691" spans="1:1">
      <c r="A691" s="236"/>
    </row>
    <row r="692" spans="1:1">
      <c r="A692" s="236"/>
    </row>
    <row r="693" spans="1:1">
      <c r="A693" s="236"/>
    </row>
    <row r="694" spans="1:1">
      <c r="A694" s="236"/>
    </row>
    <row r="695" spans="1:1">
      <c r="A695" s="236"/>
    </row>
    <row r="696" spans="1:1">
      <c r="A696" s="236"/>
    </row>
    <row r="697" spans="1:1">
      <c r="A697" s="236"/>
    </row>
    <row r="698" spans="1:1">
      <c r="A698" s="236"/>
    </row>
    <row r="699" spans="1:1">
      <c r="A699" s="236"/>
    </row>
    <row r="700" spans="1:1">
      <c r="A700" s="236"/>
    </row>
    <row r="701" spans="1:1">
      <c r="A701" s="236"/>
    </row>
    <row r="702" spans="1:1">
      <c r="A702" s="236"/>
    </row>
    <row r="703" spans="1:1">
      <c r="A703" s="236"/>
    </row>
    <row r="704" spans="1:1">
      <c r="A704" s="236"/>
    </row>
    <row r="705" spans="1:1">
      <c r="A705" s="236"/>
    </row>
    <row r="706" spans="1:1">
      <c r="A706" s="236"/>
    </row>
    <row r="707" spans="1:1">
      <c r="A707" s="236"/>
    </row>
    <row r="708" spans="1:1">
      <c r="A708" s="236"/>
    </row>
    <row r="709" spans="1:1">
      <c r="A709" s="236"/>
    </row>
    <row r="710" spans="1:1">
      <c r="A710" s="236"/>
    </row>
    <row r="711" spans="1:1">
      <c r="A711" s="236"/>
    </row>
    <row r="712" spans="1:1">
      <c r="A712" s="236"/>
    </row>
    <row r="713" spans="1:1">
      <c r="A713" s="236"/>
    </row>
    <row r="714" spans="1:1">
      <c r="A714" s="236"/>
    </row>
    <row r="715" spans="1:1">
      <c r="A715" s="236"/>
    </row>
    <row r="716" spans="1:1">
      <c r="A716" s="236"/>
    </row>
    <row r="717" spans="1:1">
      <c r="A717" s="236"/>
    </row>
    <row r="718" spans="1:1">
      <c r="A718" s="236"/>
    </row>
    <row r="719" spans="1:1">
      <c r="A719" s="236"/>
    </row>
    <row r="720" spans="1:1">
      <c r="A720" s="236"/>
    </row>
    <row r="721" spans="1:1">
      <c r="A721" s="236"/>
    </row>
    <row r="722" spans="1:1">
      <c r="A722" s="236"/>
    </row>
    <row r="723" spans="1:1">
      <c r="A723" s="236"/>
    </row>
    <row r="724" spans="1:1">
      <c r="A724" s="236"/>
    </row>
    <row r="725" spans="1:1">
      <c r="A725" s="236"/>
    </row>
    <row r="726" spans="1:1">
      <c r="A726" s="236"/>
    </row>
    <row r="727" spans="1:1">
      <c r="A727" s="236"/>
    </row>
    <row r="728" spans="1:1">
      <c r="A728" s="236"/>
    </row>
    <row r="729" spans="1:1">
      <c r="A729" s="236"/>
    </row>
    <row r="730" spans="1:1">
      <c r="A730" s="236"/>
    </row>
    <row r="731" spans="1:1">
      <c r="A731" s="236"/>
    </row>
    <row r="732" spans="1:1">
      <c r="A732" s="236"/>
    </row>
    <row r="733" spans="1:1">
      <c r="A733" s="236"/>
    </row>
    <row r="734" spans="1:1">
      <c r="A734" s="236"/>
    </row>
    <row r="735" spans="1:1">
      <c r="A735" s="236"/>
    </row>
    <row r="736" spans="1:1">
      <c r="A736" s="236"/>
    </row>
    <row r="737" spans="1:1">
      <c r="A737" s="236"/>
    </row>
    <row r="738" spans="1:1">
      <c r="A738" s="236"/>
    </row>
    <row r="739" spans="1:1">
      <c r="A739" s="236"/>
    </row>
    <row r="740" spans="1:1">
      <c r="A740" s="236"/>
    </row>
    <row r="741" spans="1:1">
      <c r="A741" s="236"/>
    </row>
    <row r="742" spans="1:1">
      <c r="A742" s="236"/>
    </row>
    <row r="743" spans="1:1">
      <c r="A743" s="236"/>
    </row>
    <row r="744" spans="1:1">
      <c r="A744" s="236"/>
    </row>
    <row r="745" spans="1:1">
      <c r="A745" s="236"/>
    </row>
    <row r="746" spans="1:1">
      <c r="A746" s="236"/>
    </row>
    <row r="747" spans="1:1">
      <c r="A747" s="236"/>
    </row>
    <row r="748" spans="1:1">
      <c r="A748" s="236"/>
    </row>
    <row r="749" spans="1:1">
      <c r="A749" s="236"/>
    </row>
    <row r="750" spans="1:1">
      <c r="A750" s="236"/>
    </row>
    <row r="751" spans="1:1">
      <c r="A751" s="236"/>
    </row>
    <row r="752" spans="1:1">
      <c r="A752" s="236"/>
    </row>
    <row r="753" spans="1:1">
      <c r="A753" s="236"/>
    </row>
    <row r="754" spans="1:1">
      <c r="A754" s="236"/>
    </row>
    <row r="755" spans="1:1">
      <c r="A755" s="236"/>
    </row>
    <row r="756" spans="1:1">
      <c r="A756" s="236"/>
    </row>
    <row r="757" spans="1:1">
      <c r="A757" s="236"/>
    </row>
    <row r="758" spans="1:1">
      <c r="A758" s="236"/>
    </row>
    <row r="759" spans="1:1">
      <c r="A759" s="236"/>
    </row>
    <row r="760" spans="1:1">
      <c r="A760" s="236"/>
    </row>
    <row r="761" spans="1:1">
      <c r="A761" s="236"/>
    </row>
    <row r="762" spans="1:1">
      <c r="A762" s="236"/>
    </row>
    <row r="763" spans="1:1">
      <c r="A763" s="236"/>
    </row>
    <row r="764" spans="1:1">
      <c r="A764" s="236"/>
    </row>
    <row r="765" spans="1:1">
      <c r="A765" s="236"/>
    </row>
    <row r="766" spans="1:1">
      <c r="A766" s="236"/>
    </row>
    <row r="767" spans="1:1">
      <c r="A767" s="236"/>
    </row>
    <row r="768" spans="1:1">
      <c r="A768" s="236"/>
    </row>
    <row r="769" spans="1:1">
      <c r="A769" s="236"/>
    </row>
    <row r="770" spans="1:1">
      <c r="A770" s="236"/>
    </row>
    <row r="771" spans="1:1">
      <c r="A771" s="236"/>
    </row>
    <row r="772" spans="1:1">
      <c r="A772" s="236"/>
    </row>
    <row r="773" spans="1:1">
      <c r="A773" s="236"/>
    </row>
    <row r="774" spans="1:1">
      <c r="A774" s="236"/>
    </row>
    <row r="775" spans="1:1">
      <c r="A775" s="236"/>
    </row>
    <row r="776" spans="1:1">
      <c r="A776" s="236"/>
    </row>
    <row r="777" spans="1:1">
      <c r="A777" s="236"/>
    </row>
    <row r="778" spans="1:1">
      <c r="A778" s="236"/>
    </row>
    <row r="779" spans="1:1">
      <c r="A779" s="236"/>
    </row>
    <row r="780" spans="1:1">
      <c r="A780" s="236"/>
    </row>
    <row r="781" spans="1:1">
      <c r="A781" s="236"/>
    </row>
    <row r="782" spans="1:1">
      <c r="A782" s="236"/>
    </row>
    <row r="783" spans="1:1">
      <c r="A783" s="236"/>
    </row>
    <row r="784" spans="1:1">
      <c r="A784" s="236"/>
    </row>
    <row r="785" spans="1:1">
      <c r="A785" s="236"/>
    </row>
    <row r="786" spans="1:1">
      <c r="A786" s="236"/>
    </row>
    <row r="787" spans="1:1">
      <c r="A787" s="236"/>
    </row>
    <row r="788" spans="1:1">
      <c r="A788" s="236"/>
    </row>
    <row r="789" spans="1:1">
      <c r="A789" s="236"/>
    </row>
    <row r="790" spans="1:1">
      <c r="A790" s="236"/>
    </row>
    <row r="791" spans="1:1">
      <c r="A791" s="236"/>
    </row>
    <row r="792" spans="1:1">
      <c r="A792" s="236"/>
    </row>
    <row r="793" spans="1:1">
      <c r="A793" s="236"/>
    </row>
    <row r="794" spans="1:1">
      <c r="A794" s="236"/>
    </row>
    <row r="795" spans="1:1">
      <c r="A795" s="236"/>
    </row>
    <row r="796" spans="1:1">
      <c r="A796" s="236"/>
    </row>
    <row r="797" spans="1:1">
      <c r="A797" s="236"/>
    </row>
    <row r="798" spans="1:1">
      <c r="A798" s="236"/>
    </row>
    <row r="799" spans="1:1">
      <c r="A799" s="236"/>
    </row>
    <row r="800" spans="1:1">
      <c r="A800" s="236"/>
    </row>
    <row r="801" spans="1:1">
      <c r="A801" s="236"/>
    </row>
    <row r="802" spans="1:1">
      <c r="A802" s="236"/>
    </row>
    <row r="803" spans="1:1">
      <c r="A803" s="236"/>
    </row>
    <row r="804" spans="1:1">
      <c r="A804" s="236"/>
    </row>
    <row r="805" spans="1:1">
      <c r="A805" s="236"/>
    </row>
    <row r="806" spans="1:1">
      <c r="A806" s="236"/>
    </row>
    <row r="807" spans="1:1">
      <c r="A807" s="236"/>
    </row>
    <row r="808" spans="1:1">
      <c r="A808" s="236"/>
    </row>
    <row r="809" spans="1:1">
      <c r="A809" s="236"/>
    </row>
    <row r="810" spans="1:1">
      <c r="A810" s="236"/>
    </row>
    <row r="811" spans="1:1">
      <c r="A811" s="236"/>
    </row>
    <row r="812" spans="1:1">
      <c r="A812" s="236"/>
    </row>
    <row r="813" spans="1:1">
      <c r="A813" s="236"/>
    </row>
    <row r="814" spans="1:1">
      <c r="A814" s="236"/>
    </row>
    <row r="815" spans="1:1">
      <c r="A815" s="236"/>
    </row>
    <row r="816" spans="1:1">
      <c r="A816" s="236"/>
    </row>
    <row r="817" spans="1:1">
      <c r="A817" s="236"/>
    </row>
    <row r="818" spans="1:1">
      <c r="A818" s="236"/>
    </row>
    <row r="819" spans="1:1">
      <c r="A819" s="236"/>
    </row>
    <row r="820" spans="1:1">
      <c r="A820" s="236"/>
    </row>
    <row r="821" spans="1:1">
      <c r="A821" s="236"/>
    </row>
    <row r="822" spans="1:1">
      <c r="A822" s="236"/>
    </row>
    <row r="823" spans="1:1">
      <c r="A823" s="236"/>
    </row>
    <row r="824" spans="1:1">
      <c r="A824" s="236"/>
    </row>
    <row r="825" spans="1:1">
      <c r="A825" s="236"/>
    </row>
    <row r="826" spans="1:1">
      <c r="A826" s="236"/>
    </row>
    <row r="827" spans="1:1">
      <c r="A827" s="236"/>
    </row>
    <row r="828" spans="1:1">
      <c r="A828" s="236"/>
    </row>
    <row r="829" spans="1:1">
      <c r="A829" s="236"/>
    </row>
    <row r="830" spans="1:1">
      <c r="A830" s="236"/>
    </row>
    <row r="831" spans="1:1">
      <c r="A831" s="236"/>
    </row>
    <row r="832" spans="1:1">
      <c r="A832" s="236"/>
    </row>
    <row r="833" spans="1:1">
      <c r="A833" s="236"/>
    </row>
    <row r="834" spans="1:1">
      <c r="A834" s="236"/>
    </row>
    <row r="835" spans="1:1">
      <c r="A835" s="236"/>
    </row>
    <row r="836" spans="1:1">
      <c r="A836" s="236"/>
    </row>
    <row r="837" spans="1:1">
      <c r="A837" s="236"/>
    </row>
    <row r="838" spans="1:1">
      <c r="A838" s="236"/>
    </row>
    <row r="839" spans="1:1">
      <c r="A839" s="236"/>
    </row>
    <row r="840" spans="1:1">
      <c r="A840" s="236"/>
    </row>
    <row r="841" spans="1:1">
      <c r="A841" s="236"/>
    </row>
    <row r="842" spans="1:1">
      <c r="A842" s="236"/>
    </row>
    <row r="843" spans="1:1">
      <c r="A843" s="236"/>
    </row>
    <row r="844" spans="1:1">
      <c r="A844" s="236"/>
    </row>
    <row r="845" spans="1:1">
      <c r="A845" s="236"/>
    </row>
    <row r="846" spans="1:1">
      <c r="A846" s="236"/>
    </row>
    <row r="847" spans="1:1">
      <c r="A847" s="236"/>
    </row>
    <row r="848" spans="1:1">
      <c r="A848" s="236"/>
    </row>
    <row r="849" spans="1:1">
      <c r="A849" s="236"/>
    </row>
    <row r="850" spans="1:1">
      <c r="A850" s="236"/>
    </row>
    <row r="851" spans="1:1">
      <c r="A851" s="236"/>
    </row>
    <row r="852" spans="1:1">
      <c r="A852" s="236"/>
    </row>
    <row r="853" spans="1:1">
      <c r="A853" s="236"/>
    </row>
    <row r="854" spans="1:1">
      <c r="A854" s="236"/>
    </row>
    <row r="855" spans="1:1">
      <c r="A855" s="236"/>
    </row>
    <row r="856" spans="1:1">
      <c r="A856" s="236"/>
    </row>
    <row r="857" spans="1:1">
      <c r="A857" s="236"/>
    </row>
    <row r="858" spans="1:1">
      <c r="A858" s="236"/>
    </row>
    <row r="859" spans="1:1">
      <c r="A859" s="236"/>
    </row>
    <row r="860" spans="1:1">
      <c r="A860" s="236"/>
    </row>
    <row r="861" spans="1:1">
      <c r="A861" s="236"/>
    </row>
    <row r="862" spans="1:1">
      <c r="A862" s="236"/>
    </row>
    <row r="863" spans="1:1">
      <c r="A863" s="236"/>
    </row>
    <row r="864" spans="1:1">
      <c r="A864" s="236"/>
    </row>
    <row r="865" spans="1:1">
      <c r="A865" s="236"/>
    </row>
    <row r="866" spans="1:1">
      <c r="A866" s="236"/>
    </row>
    <row r="867" spans="1:1">
      <c r="A867" s="236"/>
    </row>
    <row r="868" spans="1:1">
      <c r="A868" s="236"/>
    </row>
    <row r="869" spans="1:1">
      <c r="A869" s="236"/>
    </row>
    <row r="870" spans="1:1">
      <c r="A870" s="236"/>
    </row>
    <row r="871" spans="1:1">
      <c r="A871" s="236"/>
    </row>
    <row r="872" spans="1:1">
      <c r="A872" s="236"/>
    </row>
    <row r="873" spans="1:1">
      <c r="A873" s="236"/>
    </row>
    <row r="874" spans="1:1">
      <c r="A874" s="236"/>
    </row>
    <row r="875" spans="1:1">
      <c r="A875" s="236"/>
    </row>
    <row r="876" spans="1:1">
      <c r="A876" s="236"/>
    </row>
    <row r="877" spans="1:1">
      <c r="A877" s="236"/>
    </row>
    <row r="878" spans="1:1">
      <c r="A878" s="236"/>
    </row>
    <row r="879" spans="1:1">
      <c r="A879" s="236"/>
    </row>
    <row r="880" spans="1:1">
      <c r="A880" s="236"/>
    </row>
    <row r="881" spans="1:1">
      <c r="A881" s="236"/>
    </row>
    <row r="882" spans="1:1">
      <c r="A882" s="236"/>
    </row>
    <row r="883" spans="1:1">
      <c r="A883" s="236"/>
    </row>
    <row r="884" spans="1:1">
      <c r="A884" s="236"/>
    </row>
    <row r="885" spans="1:1">
      <c r="A885" s="236"/>
    </row>
    <row r="886" spans="1:1">
      <c r="A886" s="236"/>
    </row>
    <row r="887" spans="1:1">
      <c r="A887" s="236"/>
    </row>
    <row r="888" spans="1:1">
      <c r="A888" s="236"/>
    </row>
    <row r="889" spans="1:1">
      <c r="A889" s="236"/>
    </row>
    <row r="890" spans="1:1">
      <c r="A890" s="236"/>
    </row>
    <row r="891" spans="1:1">
      <c r="A891" s="236"/>
    </row>
    <row r="892" spans="1:1">
      <c r="A892" s="236"/>
    </row>
    <row r="893" spans="1:1">
      <c r="A893" s="236"/>
    </row>
    <row r="894" spans="1:1">
      <c r="A894" s="236"/>
    </row>
    <row r="895" spans="1:1">
      <c r="A895" s="236"/>
    </row>
    <row r="896" spans="1:1">
      <c r="A896" s="236"/>
    </row>
    <row r="897" spans="1:1">
      <c r="A897" s="236"/>
    </row>
    <row r="898" spans="1:1">
      <c r="A898" s="236"/>
    </row>
    <row r="899" spans="1:1">
      <c r="A899" s="236"/>
    </row>
    <row r="900" spans="1:1">
      <c r="A900" s="236"/>
    </row>
    <row r="901" spans="1:1">
      <c r="A901" s="236"/>
    </row>
    <row r="902" spans="1:1">
      <c r="A902" s="236"/>
    </row>
    <row r="903" spans="1:1">
      <c r="A903" s="236"/>
    </row>
    <row r="904" spans="1:1">
      <c r="A904" s="236"/>
    </row>
    <row r="905" spans="1:1">
      <c r="A905" s="236"/>
    </row>
    <row r="906" spans="1:1">
      <c r="A906" s="236"/>
    </row>
    <row r="907" spans="1:1">
      <c r="A907" s="236"/>
    </row>
    <row r="908" spans="1:1">
      <c r="A908" s="236"/>
    </row>
    <row r="909" spans="1:1">
      <c r="A909" s="236"/>
    </row>
    <row r="910" spans="1:1">
      <c r="A910" s="236"/>
    </row>
    <row r="911" spans="1:1">
      <c r="A911" s="236"/>
    </row>
    <row r="912" spans="1:1">
      <c r="A912" s="236"/>
    </row>
    <row r="913" spans="1:1">
      <c r="A913" s="236"/>
    </row>
    <row r="914" spans="1:1">
      <c r="A914" s="236"/>
    </row>
    <row r="915" spans="1:1">
      <c r="A915" s="236"/>
    </row>
    <row r="916" spans="1:1">
      <c r="A916" s="236"/>
    </row>
    <row r="917" spans="1:1">
      <c r="A917" s="236"/>
    </row>
    <row r="918" spans="1:1">
      <c r="A918" s="236"/>
    </row>
    <row r="919" spans="1:1">
      <c r="A919" s="236"/>
    </row>
    <row r="920" spans="1:1">
      <c r="A920" s="236"/>
    </row>
    <row r="921" spans="1:1">
      <c r="A921" s="236"/>
    </row>
    <row r="922" spans="1:1">
      <c r="A922" s="236"/>
    </row>
    <row r="923" spans="1:1">
      <c r="A923" s="236"/>
    </row>
    <row r="924" spans="1:1">
      <c r="A924" s="236"/>
    </row>
    <row r="925" spans="1:1">
      <c r="A925" s="236"/>
    </row>
    <row r="926" spans="1:1">
      <c r="A926" s="236"/>
    </row>
    <row r="927" spans="1:1">
      <c r="A927" s="236"/>
    </row>
    <row r="928" spans="1:1">
      <c r="A928" s="236"/>
    </row>
    <row r="929" spans="1:1">
      <c r="A929" s="236"/>
    </row>
    <row r="930" spans="1:1">
      <c r="A930" s="236"/>
    </row>
    <row r="931" spans="1:1">
      <c r="A931" s="236"/>
    </row>
    <row r="932" spans="1:1">
      <c r="A932" s="236"/>
    </row>
    <row r="933" spans="1:1">
      <c r="A933" s="236"/>
    </row>
    <row r="934" spans="1:1">
      <c r="A934" s="236"/>
    </row>
    <row r="935" spans="1:1">
      <c r="A935" s="236"/>
    </row>
    <row r="936" spans="1:1">
      <c r="A936" s="236"/>
    </row>
    <row r="937" spans="1:1">
      <c r="A937" s="236"/>
    </row>
    <row r="938" spans="1:1">
      <c r="A938" s="236"/>
    </row>
    <row r="939" spans="1:1">
      <c r="A939" s="236"/>
    </row>
    <row r="940" spans="1:1">
      <c r="A940" s="236"/>
    </row>
    <row r="941" spans="1:1">
      <c r="A941" s="236"/>
    </row>
    <row r="942" spans="1:1">
      <c r="A942" s="236"/>
    </row>
    <row r="943" spans="1:1">
      <c r="A943" s="236"/>
    </row>
    <row r="944" spans="1:1">
      <c r="A944" s="236"/>
    </row>
    <row r="945" spans="1:1">
      <c r="A945" s="236"/>
    </row>
    <row r="946" spans="1:1">
      <c r="A946" s="236"/>
    </row>
    <row r="947" spans="1:1">
      <c r="A947" s="236"/>
    </row>
    <row r="948" spans="1:1">
      <c r="A948" s="236"/>
    </row>
    <row r="949" spans="1:1">
      <c r="A949" s="236"/>
    </row>
    <row r="950" spans="1:1">
      <c r="A950" s="236"/>
    </row>
    <row r="951" spans="1:1">
      <c r="A951" s="236"/>
    </row>
    <row r="952" spans="1:1">
      <c r="A952" s="236"/>
    </row>
    <row r="953" spans="1:1">
      <c r="A953" s="236"/>
    </row>
    <row r="954" spans="1:1">
      <c r="A954" s="236"/>
    </row>
    <row r="955" spans="1:1">
      <c r="A955" s="236"/>
    </row>
    <row r="956" spans="1:1">
      <c r="A956" s="236"/>
    </row>
    <row r="957" spans="1:1">
      <c r="A957" s="236"/>
    </row>
    <row r="958" spans="1:1">
      <c r="A958" s="236"/>
    </row>
    <row r="959" spans="1:1">
      <c r="A959" s="236"/>
    </row>
    <row r="960" spans="1:1">
      <c r="A960" s="236"/>
    </row>
    <row r="961" spans="1:1">
      <c r="A961" s="236"/>
    </row>
    <row r="962" spans="1:1">
      <c r="A962" s="236"/>
    </row>
    <row r="963" spans="1:1">
      <c r="A963" s="236"/>
    </row>
    <row r="964" spans="1:1">
      <c r="A964" s="236"/>
    </row>
    <row r="965" spans="1:1">
      <c r="A965" s="236"/>
    </row>
    <row r="966" spans="1:1">
      <c r="A966" s="236"/>
    </row>
    <row r="967" spans="1:1">
      <c r="A967" s="236"/>
    </row>
    <row r="968" spans="1:1">
      <c r="A968" s="236"/>
    </row>
    <row r="969" spans="1:1">
      <c r="A969" s="236"/>
    </row>
    <row r="970" spans="1:1">
      <c r="A970" s="236"/>
    </row>
    <row r="971" spans="1:1">
      <c r="A971" s="236"/>
    </row>
    <row r="972" spans="1:1">
      <c r="A972" s="236"/>
    </row>
    <row r="973" spans="1:1">
      <c r="A973" s="236"/>
    </row>
    <row r="974" spans="1:1">
      <c r="A974" s="236"/>
    </row>
    <row r="975" spans="1:1">
      <c r="A975" s="236"/>
    </row>
    <row r="976" spans="1:1">
      <c r="A976" s="236"/>
    </row>
    <row r="977" spans="1:1">
      <c r="A977" s="236"/>
    </row>
    <row r="978" spans="1:1">
      <c r="A978" s="236"/>
    </row>
    <row r="979" spans="1:1">
      <c r="A979" s="236"/>
    </row>
    <row r="980" spans="1:1">
      <c r="A980" s="236"/>
    </row>
    <row r="981" spans="1:1">
      <c r="A981" s="236"/>
    </row>
    <row r="982" spans="1:1">
      <c r="A982" s="236"/>
    </row>
    <row r="983" spans="1:1">
      <c r="A983" s="236"/>
    </row>
    <row r="984" spans="1:1">
      <c r="A984" s="236"/>
    </row>
    <row r="985" spans="1:1">
      <c r="A985" s="236"/>
    </row>
    <row r="986" spans="1:1">
      <c r="A986" s="236"/>
    </row>
    <row r="987" spans="1:1">
      <c r="A987" s="236"/>
    </row>
    <row r="988" spans="1:1">
      <c r="A988" s="236"/>
    </row>
    <row r="989" spans="1:1">
      <c r="A989" s="236"/>
    </row>
    <row r="990" spans="1:1">
      <c r="A990" s="236"/>
    </row>
    <row r="991" spans="1:1">
      <c r="A991" s="236"/>
    </row>
    <row r="992" spans="1:1">
      <c r="A992" s="236"/>
    </row>
    <row r="993" spans="1:1">
      <c r="A993" s="236"/>
    </row>
    <row r="994" spans="1:1">
      <c r="A994" s="236"/>
    </row>
    <row r="995" spans="1:1">
      <c r="A995" s="236"/>
    </row>
    <row r="996" spans="1:1">
      <c r="A996" s="236"/>
    </row>
    <row r="997" spans="1:1">
      <c r="A997" s="236"/>
    </row>
    <row r="998" spans="1:1">
      <c r="A998" s="236"/>
    </row>
    <row r="999" spans="1:1">
      <c r="A999" s="236"/>
    </row>
    <row r="1000" spans="1:1">
      <c r="A1000" s="236"/>
    </row>
    <row r="1001" spans="1:1">
      <c r="A1001" s="236"/>
    </row>
    <row r="1002" spans="1:1">
      <c r="A1002" s="236"/>
    </row>
    <row r="1003" spans="1:1">
      <c r="A1003" s="236"/>
    </row>
    <row r="1004" spans="1:1">
      <c r="A1004" s="236"/>
    </row>
    <row r="1005" spans="1:1">
      <c r="A1005" s="236"/>
    </row>
    <row r="1006" spans="1:1">
      <c r="A1006" s="236"/>
    </row>
    <row r="1007" spans="1:1">
      <c r="A1007" s="236"/>
    </row>
    <row r="1008" spans="1:1">
      <c r="A1008" s="236"/>
    </row>
    <row r="1009" spans="1:1">
      <c r="A1009" s="236"/>
    </row>
    <row r="1010" spans="1:1">
      <c r="A1010" s="236"/>
    </row>
    <row r="1011" spans="1:1">
      <c r="A1011" s="236"/>
    </row>
    <row r="1012" spans="1:1">
      <c r="A1012" s="236"/>
    </row>
    <row r="1013" spans="1:1">
      <c r="A1013" s="236"/>
    </row>
    <row r="1014" spans="1:1">
      <c r="A1014" s="236"/>
    </row>
    <row r="1015" spans="1:1">
      <c r="A1015" s="236"/>
    </row>
    <row r="1016" spans="1:1">
      <c r="A1016" s="236"/>
    </row>
    <row r="1017" spans="1:1">
      <c r="A1017" s="236"/>
    </row>
    <row r="1018" spans="1:1">
      <c r="A1018" s="236"/>
    </row>
    <row r="1019" spans="1:1">
      <c r="A1019" s="236"/>
    </row>
    <row r="1020" spans="1:1">
      <c r="A1020" s="236"/>
    </row>
    <row r="1021" spans="1:1">
      <c r="A1021" s="236"/>
    </row>
    <row r="1022" spans="1:1">
      <c r="A1022" s="236"/>
    </row>
    <row r="1023" spans="1:1">
      <c r="A1023" s="236"/>
    </row>
    <row r="1024" spans="1:1">
      <c r="A1024" s="236"/>
    </row>
    <row r="1025" spans="1:1">
      <c r="A1025" s="236"/>
    </row>
    <row r="1026" spans="1:1">
      <c r="A1026" s="236"/>
    </row>
    <row r="1027" spans="1:1">
      <c r="A1027" s="236"/>
    </row>
    <row r="1028" spans="1:1">
      <c r="A1028" s="236"/>
    </row>
    <row r="1029" spans="1:1">
      <c r="A1029" s="236"/>
    </row>
    <row r="1030" spans="1:1">
      <c r="A1030" s="236"/>
    </row>
    <row r="1031" spans="1:1">
      <c r="A1031" s="236"/>
    </row>
    <row r="1032" spans="1:1">
      <c r="A1032" s="236"/>
    </row>
    <row r="1033" spans="1:1">
      <c r="A1033" s="236"/>
    </row>
    <row r="1034" spans="1:1">
      <c r="A1034" s="236"/>
    </row>
    <row r="1035" spans="1:1">
      <c r="A1035" s="236"/>
    </row>
    <row r="1036" spans="1:1">
      <c r="A1036" s="236"/>
    </row>
    <row r="1037" spans="1:1">
      <c r="A1037" s="236"/>
    </row>
    <row r="1038" spans="1:1">
      <c r="A1038" s="236"/>
    </row>
    <row r="1039" spans="1:1">
      <c r="A1039" s="236"/>
    </row>
    <row r="1040" spans="1:1">
      <c r="A1040" s="236"/>
    </row>
    <row r="1041" spans="1:1">
      <c r="A1041" s="236"/>
    </row>
    <row r="1042" spans="1:1">
      <c r="A1042" s="236"/>
    </row>
    <row r="1043" spans="1:1">
      <c r="A1043" s="236"/>
    </row>
    <row r="1044" spans="1:1">
      <c r="A1044" s="236"/>
    </row>
    <row r="1045" spans="1:1">
      <c r="A1045" s="236"/>
    </row>
  </sheetData>
  <mergeCells count="11">
    <mergeCell ref="B1:D1"/>
    <mergeCell ref="B2:D2"/>
    <mergeCell ref="B56:D56"/>
    <mergeCell ref="B9:B10"/>
    <mergeCell ref="C9:D9"/>
    <mergeCell ref="A4:D4"/>
    <mergeCell ref="A5:D5"/>
    <mergeCell ref="A8:A10"/>
    <mergeCell ref="B8:D8"/>
    <mergeCell ref="A6:D6"/>
    <mergeCell ref="C7:D7"/>
  </mergeCells>
  <phoneticPr fontId="0" type="noConversion"/>
  <pageMargins left="0.85" right="0" top="0.54" bottom="0.32" header="0.51" footer="0.2"/>
  <pageSetup paperSize="9" scale="95" orientation="portrait" r:id="rId1"/>
  <headerFooter alignWithMargins="0">
    <oddFooter>&amp;C&amp;P/2 (PL 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8"/>
  <sheetViews>
    <sheetView zoomScaleNormal="100" zoomScaleSheetLayoutView="130" workbookViewId="0">
      <selection activeCell="H13" sqref="H13"/>
    </sheetView>
  </sheetViews>
  <sheetFormatPr defaultColWidth="9" defaultRowHeight="13.2"/>
  <cols>
    <col min="1" max="1" width="7.5" style="139" customWidth="1"/>
    <col min="2" max="2" width="62.19921875" style="103" customWidth="1"/>
    <col min="3" max="6" width="13.09765625" style="103" customWidth="1"/>
    <col min="7" max="16384" width="9" style="103"/>
  </cols>
  <sheetData>
    <row r="1" spans="1:6" ht="16.8">
      <c r="A1" s="289" t="s">
        <v>993</v>
      </c>
      <c r="B1" s="289"/>
      <c r="C1" s="289" t="s">
        <v>994</v>
      </c>
      <c r="D1" s="289"/>
      <c r="E1" s="289"/>
      <c r="F1" s="289"/>
    </row>
    <row r="2" spans="1:6" ht="16.8">
      <c r="A2" s="289" t="s">
        <v>999</v>
      </c>
      <c r="B2" s="289"/>
      <c r="C2" s="289" t="s">
        <v>998</v>
      </c>
      <c r="D2" s="289"/>
      <c r="E2" s="289"/>
      <c r="F2" s="289"/>
    </row>
    <row r="4" spans="1:6" ht="19.5" customHeight="1">
      <c r="A4" s="301" t="s">
        <v>576</v>
      </c>
      <c r="B4" s="301"/>
      <c r="C4" s="301"/>
      <c r="D4" s="301"/>
      <c r="E4" s="301"/>
      <c r="F4" s="301"/>
    </row>
    <row r="5" spans="1:6" ht="21" customHeight="1">
      <c r="A5" s="298" t="s">
        <v>608</v>
      </c>
      <c r="B5" s="298"/>
      <c r="C5" s="298"/>
      <c r="D5" s="298"/>
      <c r="E5" s="298"/>
      <c r="F5" s="298"/>
    </row>
    <row r="6" spans="1:6" ht="17.25" customHeight="1">
      <c r="A6" s="299" t="s">
        <v>995</v>
      </c>
      <c r="B6" s="299"/>
      <c r="C6" s="299"/>
      <c r="D6" s="299"/>
      <c r="E6" s="299"/>
      <c r="F6" s="299"/>
    </row>
    <row r="7" spans="1:6" ht="17.25" customHeight="1">
      <c r="A7" s="225"/>
      <c r="B7" s="225"/>
      <c r="D7" s="145"/>
      <c r="E7" s="145"/>
      <c r="F7" s="145"/>
    </row>
    <row r="8" spans="1:6" ht="18" customHeight="1">
      <c r="A8" s="117"/>
      <c r="B8" s="118"/>
      <c r="D8" s="300" t="s">
        <v>0</v>
      </c>
      <c r="E8" s="300"/>
      <c r="F8" s="300"/>
    </row>
    <row r="9" spans="1:6" s="77" customFormat="1" ht="23.1" customHeight="1">
      <c r="A9" s="302" t="s">
        <v>28</v>
      </c>
      <c r="B9" s="302" t="s">
        <v>29</v>
      </c>
      <c r="C9" s="304" t="s">
        <v>609</v>
      </c>
      <c r="D9" s="305"/>
      <c r="E9" s="305"/>
      <c r="F9" s="306"/>
    </row>
    <row r="10" spans="1:6" s="77" customFormat="1" ht="23.1" customHeight="1">
      <c r="A10" s="303"/>
      <c r="B10" s="303" t="s">
        <v>30</v>
      </c>
      <c r="C10" s="307" t="s">
        <v>31</v>
      </c>
      <c r="D10" s="309" t="s">
        <v>3</v>
      </c>
      <c r="E10" s="310"/>
      <c r="F10" s="311"/>
    </row>
    <row r="11" spans="1:6" s="77" customFormat="1" ht="23.1" customHeight="1">
      <c r="A11" s="303"/>
      <c r="B11" s="303"/>
      <c r="C11" s="308"/>
      <c r="D11" s="227" t="s">
        <v>32</v>
      </c>
      <c r="E11" s="227" t="s">
        <v>33</v>
      </c>
      <c r="F11" s="227" t="s">
        <v>34</v>
      </c>
    </row>
    <row r="12" spans="1:6" ht="25.5" customHeight="1">
      <c r="A12" s="226"/>
      <c r="B12" s="142" t="s">
        <v>35</v>
      </c>
      <c r="C12" s="143">
        <f>D12+E12+F12</f>
        <v>13414767</v>
      </c>
      <c r="D12" s="143">
        <f>D13+D43+D219+D313+D314+D315+D316+D317+D318+D319+D320+D321+D322+D323+D324+D325+D326</f>
        <v>7857477</v>
      </c>
      <c r="E12" s="143">
        <f>E13+E43+E219+E313+E314+E315+E316+E317+E318+E319+E320+E321+E322+E323+E324+E325+E326</f>
        <v>3953544</v>
      </c>
      <c r="F12" s="143">
        <f>F13+F43+F219+F313+F314+F315+F316+F317+F318+F319+F320+F321+F322+F323+F324+F325+F326</f>
        <v>1603746</v>
      </c>
    </row>
    <row r="13" spans="1:6" s="110" customFormat="1" ht="26.25" customHeight="1">
      <c r="A13" s="119" t="s">
        <v>36</v>
      </c>
      <c r="B13" s="107" t="s">
        <v>37</v>
      </c>
      <c r="C13" s="47">
        <f>D13+E13+F13</f>
        <v>2840706</v>
      </c>
      <c r="D13" s="47">
        <f>D14+D20+D42</f>
        <v>2252510</v>
      </c>
      <c r="E13" s="47">
        <f>E14+E20+E42</f>
        <v>344346</v>
      </c>
      <c r="F13" s="47">
        <f>F14+F20+F42</f>
        <v>243850</v>
      </c>
    </row>
    <row r="14" spans="1:6" s="110" customFormat="1" ht="24.9" customHeight="1">
      <c r="A14" s="120">
        <v>1</v>
      </c>
      <c r="B14" s="121" t="s">
        <v>38</v>
      </c>
      <c r="C14" s="104">
        <f>D14</f>
        <v>1976274</v>
      </c>
      <c r="D14" s="104">
        <f>D15+D18+D19</f>
        <v>1976274</v>
      </c>
      <c r="E14" s="104"/>
      <c r="F14" s="47"/>
    </row>
    <row r="15" spans="1:6" s="110" customFormat="1" ht="24.9" customHeight="1">
      <c r="A15" s="108" t="s">
        <v>39</v>
      </c>
      <c r="B15" s="48" t="s">
        <v>40</v>
      </c>
      <c r="C15" s="46">
        <f>D15+E15+F15</f>
        <v>541900</v>
      </c>
      <c r="D15" s="46">
        <v>541900</v>
      </c>
      <c r="E15" s="46"/>
      <c r="F15" s="46"/>
    </row>
    <row r="16" spans="1:6" s="123" customFormat="1" ht="24.9" customHeight="1">
      <c r="A16" s="122"/>
      <c r="B16" s="115" t="s">
        <v>41</v>
      </c>
      <c r="C16" s="105"/>
      <c r="D16" s="105"/>
      <c r="E16" s="105"/>
      <c r="F16" s="105"/>
    </row>
    <row r="17" spans="1:6" s="110" customFormat="1" ht="27.6" customHeight="1">
      <c r="A17" s="108"/>
      <c r="B17" s="111" t="s">
        <v>621</v>
      </c>
      <c r="C17" s="46">
        <f>D17</f>
        <v>64500</v>
      </c>
      <c r="D17" s="46">
        <v>64500</v>
      </c>
      <c r="E17" s="46"/>
      <c r="F17" s="46"/>
    </row>
    <row r="18" spans="1:6" s="110" customFormat="1" ht="24.9" customHeight="1">
      <c r="A18" s="108" t="s">
        <v>42</v>
      </c>
      <c r="B18" s="48" t="s">
        <v>43</v>
      </c>
      <c r="C18" s="46">
        <f>D18+E18+F18</f>
        <v>348000</v>
      </c>
      <c r="D18" s="46">
        <v>348000</v>
      </c>
      <c r="E18" s="46"/>
      <c r="F18" s="46"/>
    </row>
    <row r="19" spans="1:6" s="110" customFormat="1" ht="24.9" customHeight="1">
      <c r="A19" s="108" t="s">
        <v>44</v>
      </c>
      <c r="B19" s="48" t="s">
        <v>45</v>
      </c>
      <c r="C19" s="46">
        <f>D19+E19+F19</f>
        <v>1086374</v>
      </c>
      <c r="D19" s="46">
        <v>1086374</v>
      </c>
      <c r="E19" s="46"/>
      <c r="F19" s="46"/>
    </row>
    <row r="20" spans="1:6" s="124" customFormat="1" ht="24.9" customHeight="1">
      <c r="A20" s="119">
        <v>2</v>
      </c>
      <c r="B20" s="107" t="s">
        <v>46</v>
      </c>
      <c r="C20" s="47">
        <f>D20+E20+F20</f>
        <v>764432</v>
      </c>
      <c r="D20" s="47">
        <f>D21+D22+D23</f>
        <v>276236</v>
      </c>
      <c r="E20" s="47">
        <f>E21+E22+E23</f>
        <v>344346</v>
      </c>
      <c r="F20" s="47">
        <f>F21+F22+F23</f>
        <v>143850</v>
      </c>
    </row>
    <row r="21" spans="1:6" s="110" customFormat="1" ht="24.9" customHeight="1">
      <c r="A21" s="108" t="s">
        <v>39</v>
      </c>
      <c r="B21" s="48" t="s">
        <v>689</v>
      </c>
      <c r="C21" s="46">
        <f>D21+E21+F21</f>
        <v>7432</v>
      </c>
      <c r="D21" s="46"/>
      <c r="E21" s="46">
        <v>7432</v>
      </c>
      <c r="F21" s="46"/>
    </row>
    <row r="22" spans="1:6" s="110" customFormat="1" ht="24.9" customHeight="1">
      <c r="A22" s="108" t="s">
        <v>42</v>
      </c>
      <c r="B22" s="48" t="s">
        <v>47</v>
      </c>
      <c r="C22" s="46">
        <v>7000</v>
      </c>
      <c r="D22" s="46">
        <v>7000</v>
      </c>
      <c r="E22" s="46"/>
      <c r="F22" s="46"/>
    </row>
    <row r="23" spans="1:6" s="110" customFormat="1" ht="24.9" customHeight="1">
      <c r="A23" s="108" t="s">
        <v>44</v>
      </c>
      <c r="B23" s="48" t="s">
        <v>48</v>
      </c>
      <c r="C23" s="46">
        <f>D23+E23+F23</f>
        <v>750000</v>
      </c>
      <c r="D23" s="46">
        <f>173091+96145</f>
        <v>269236</v>
      </c>
      <c r="E23" s="46">
        <v>336914</v>
      </c>
      <c r="F23" s="46">
        <v>143850</v>
      </c>
    </row>
    <row r="24" spans="1:6" s="123" customFormat="1" ht="24.9" customHeight="1">
      <c r="A24" s="122"/>
      <c r="B24" s="115" t="s">
        <v>49</v>
      </c>
      <c r="C24" s="106"/>
      <c r="D24" s="106"/>
      <c r="E24" s="106"/>
      <c r="F24" s="106"/>
    </row>
    <row r="25" spans="1:6" s="110" customFormat="1" ht="24.9" customHeight="1">
      <c r="A25" s="108"/>
      <c r="B25" s="48" t="s">
        <v>50</v>
      </c>
      <c r="C25" s="46">
        <f>D25+E25+F25</f>
        <v>96145</v>
      </c>
      <c r="D25" s="46">
        <v>96145</v>
      </c>
      <c r="E25" s="46"/>
      <c r="F25" s="46"/>
    </row>
    <row r="26" spans="1:6" s="110" customFormat="1" ht="24.9" customHeight="1">
      <c r="A26" s="108"/>
      <c r="B26" s="48" t="s">
        <v>51</v>
      </c>
      <c r="C26" s="46">
        <f>D26+E26+F26</f>
        <v>653855</v>
      </c>
      <c r="D26" s="46">
        <f>D23-D25</f>
        <v>173091</v>
      </c>
      <c r="E26" s="46">
        <f>E23-E25</f>
        <v>336914</v>
      </c>
      <c r="F26" s="46">
        <f>F23-F25</f>
        <v>143850</v>
      </c>
    </row>
    <row r="27" spans="1:6" s="110" customFormat="1" ht="24.9" customHeight="1">
      <c r="A27" s="108"/>
      <c r="B27" s="48" t="s">
        <v>52</v>
      </c>
      <c r="C27" s="46">
        <f t="shared" ref="C27:C33" si="0">D27+E27+F27</f>
        <v>256905</v>
      </c>
      <c r="D27" s="46">
        <v>34091</v>
      </c>
      <c r="E27" s="46">
        <v>222814</v>
      </c>
      <c r="F27" s="46"/>
    </row>
    <row r="28" spans="1:6" s="110" customFormat="1" ht="24.9" customHeight="1">
      <c r="A28" s="108"/>
      <c r="B28" s="48" t="s">
        <v>53</v>
      </c>
      <c r="C28" s="46">
        <f t="shared" si="0"/>
        <v>53000</v>
      </c>
      <c r="D28" s="46">
        <v>53000</v>
      </c>
      <c r="E28" s="46"/>
      <c r="F28" s="46"/>
    </row>
    <row r="29" spans="1:6" s="110" customFormat="1" ht="24.9" customHeight="1">
      <c r="A29" s="108"/>
      <c r="B29" s="48" t="s">
        <v>54</v>
      </c>
      <c r="C29" s="46">
        <f t="shared" si="0"/>
        <v>45000</v>
      </c>
      <c r="D29" s="46">
        <v>45000</v>
      </c>
      <c r="E29" s="46"/>
      <c r="F29" s="46"/>
    </row>
    <row r="30" spans="1:6" s="110" customFormat="1" ht="24.9" customHeight="1">
      <c r="A30" s="108"/>
      <c r="B30" s="48" t="s">
        <v>622</v>
      </c>
      <c r="C30" s="46">
        <f t="shared" si="0"/>
        <v>500</v>
      </c>
      <c r="D30" s="46">
        <v>500</v>
      </c>
      <c r="E30" s="46"/>
      <c r="F30" s="46"/>
    </row>
    <row r="31" spans="1:6" s="110" customFormat="1" ht="24.9" customHeight="1">
      <c r="A31" s="108"/>
      <c r="B31" s="48" t="s">
        <v>55</v>
      </c>
      <c r="C31" s="46">
        <f t="shared" si="0"/>
        <v>23200</v>
      </c>
      <c r="D31" s="46"/>
      <c r="E31" s="46">
        <v>22600</v>
      </c>
      <c r="F31" s="46">
        <v>600</v>
      </c>
    </row>
    <row r="32" spans="1:6" s="110" customFormat="1" ht="24.9" customHeight="1">
      <c r="A32" s="108"/>
      <c r="B32" s="48" t="s">
        <v>623</v>
      </c>
      <c r="C32" s="46">
        <f t="shared" si="0"/>
        <v>9600</v>
      </c>
      <c r="D32" s="46">
        <v>9600</v>
      </c>
      <c r="E32" s="46"/>
      <c r="F32" s="46"/>
    </row>
    <row r="33" spans="1:6" s="110" customFormat="1" ht="24.9" customHeight="1">
      <c r="A33" s="108"/>
      <c r="B33" s="48" t="s">
        <v>56</v>
      </c>
      <c r="C33" s="46">
        <f t="shared" si="0"/>
        <v>265650</v>
      </c>
      <c r="D33" s="46">
        <v>30900</v>
      </c>
      <c r="E33" s="46">
        <v>91500</v>
      </c>
      <c r="F33" s="46">
        <v>143250</v>
      </c>
    </row>
    <row r="34" spans="1:6" s="110" customFormat="1" ht="24.9" customHeight="1">
      <c r="A34" s="108"/>
      <c r="B34" s="125" t="s">
        <v>57</v>
      </c>
      <c r="C34" s="46">
        <f t="shared" ref="C34:C39" si="1">D34+E34+F34</f>
        <v>653855</v>
      </c>
      <c r="D34" s="46">
        <v>173091</v>
      </c>
      <c r="E34" s="46">
        <v>336914</v>
      </c>
      <c r="F34" s="46">
        <v>143850</v>
      </c>
    </row>
    <row r="35" spans="1:6" s="110" customFormat="1" ht="24.9" customHeight="1">
      <c r="A35" s="108"/>
      <c r="B35" s="48" t="s">
        <v>58</v>
      </c>
      <c r="C35" s="46">
        <f t="shared" si="1"/>
        <v>480764</v>
      </c>
      <c r="D35" s="46"/>
      <c r="E35" s="46">
        <f>E34-E36</f>
        <v>336914</v>
      </c>
      <c r="F35" s="46">
        <v>143850</v>
      </c>
    </row>
    <row r="36" spans="1:6" s="110" customFormat="1" ht="24.9" customHeight="1">
      <c r="A36" s="108"/>
      <c r="B36" s="48" t="s">
        <v>624</v>
      </c>
      <c r="C36" s="46">
        <f t="shared" si="1"/>
        <v>53000</v>
      </c>
      <c r="D36" s="46">
        <v>53000</v>
      </c>
      <c r="E36" s="46"/>
      <c r="F36" s="46"/>
    </row>
    <row r="37" spans="1:6" s="110" customFormat="1" ht="24.9" customHeight="1">
      <c r="A37" s="108"/>
      <c r="B37" s="48" t="s">
        <v>579</v>
      </c>
      <c r="C37" s="46">
        <f t="shared" si="1"/>
        <v>41000</v>
      </c>
      <c r="D37" s="46">
        <v>41000</v>
      </c>
      <c r="E37" s="46"/>
      <c r="F37" s="46"/>
    </row>
    <row r="38" spans="1:6" s="110" customFormat="1" ht="24.9" customHeight="1">
      <c r="A38" s="108"/>
      <c r="B38" s="48" t="s">
        <v>625</v>
      </c>
      <c r="C38" s="46">
        <f t="shared" si="1"/>
        <v>5000</v>
      </c>
      <c r="D38" s="46">
        <v>5000</v>
      </c>
      <c r="E38" s="46"/>
      <c r="F38" s="46"/>
    </row>
    <row r="39" spans="1:6" s="110" customFormat="1" ht="39.75" customHeight="1">
      <c r="A39" s="108"/>
      <c r="B39" s="48" t="s">
        <v>626</v>
      </c>
      <c r="C39" s="46">
        <f t="shared" si="1"/>
        <v>7000</v>
      </c>
      <c r="D39" s="46">
        <v>7000</v>
      </c>
      <c r="E39" s="46"/>
      <c r="F39" s="46"/>
    </row>
    <row r="40" spans="1:6" s="110" customFormat="1" ht="24.9" customHeight="1">
      <c r="A40" s="108"/>
      <c r="B40" s="48" t="s">
        <v>627</v>
      </c>
      <c r="C40" s="46">
        <f>D40+E40+F40</f>
        <v>4800</v>
      </c>
      <c r="D40" s="46">
        <v>4800</v>
      </c>
      <c r="E40" s="46"/>
      <c r="F40" s="46"/>
    </row>
    <row r="41" spans="1:6" s="110" customFormat="1" ht="53.25" customHeight="1">
      <c r="A41" s="108"/>
      <c r="B41" s="48" t="s">
        <v>992</v>
      </c>
      <c r="C41" s="46">
        <f>D41+E41+F41</f>
        <v>62291</v>
      </c>
      <c r="D41" s="46">
        <f>45000+17291</f>
        <v>62291</v>
      </c>
      <c r="E41" s="46"/>
      <c r="F41" s="46"/>
    </row>
    <row r="42" spans="1:6" s="110" customFormat="1" ht="24.9" customHeight="1">
      <c r="A42" s="119">
        <v>3</v>
      </c>
      <c r="B42" s="107" t="s">
        <v>59</v>
      </c>
      <c r="C42" s="47">
        <f>D42+E42+F42</f>
        <v>100000</v>
      </c>
      <c r="D42" s="47"/>
      <c r="E42" s="47"/>
      <c r="F42" s="47">
        <v>100000</v>
      </c>
    </row>
    <row r="43" spans="1:6" s="110" customFormat="1" ht="24.9" customHeight="1">
      <c r="A43" s="119" t="s">
        <v>60</v>
      </c>
      <c r="B43" s="107" t="s">
        <v>61</v>
      </c>
      <c r="C43" s="47">
        <f>D43+E43+F43</f>
        <v>7448884</v>
      </c>
      <c r="D43" s="47">
        <f>D44+D75+D81+D101+D107+D118+D123+D126+D129+D152+D170+D174+D203+D204+D205+D206+D207+D208+D209+D210+D211+D212+D218</f>
        <v>2982658</v>
      </c>
      <c r="E43" s="47">
        <f>E44+E75+E81+E101+E107+E118+E123+E126+E129+E152+E170+E174+E203+E204+E205+E206+E207+E208+E209+E210+E211+E212+E218</f>
        <v>3224105</v>
      </c>
      <c r="F43" s="47">
        <f>F44+F75+F81+F101+F107+F118+F123+F126+F129+F152+F170+F174+F203+F204+F205+F206+F207+F208+F209+F210+F211+F212+F218</f>
        <v>1242121</v>
      </c>
    </row>
    <row r="44" spans="1:6" s="110" customFormat="1" ht="24.9" customHeight="1">
      <c r="A44" s="119">
        <v>1</v>
      </c>
      <c r="B44" s="107" t="s">
        <v>62</v>
      </c>
      <c r="C44" s="47">
        <f>D44+E44+F44</f>
        <v>591489</v>
      </c>
      <c r="D44" s="47">
        <f>D45+D48+D49+D50+D51+D52+D53+D54+D55+D56+D57+D58+D70+D71+D72+D73+D74</f>
        <v>331874</v>
      </c>
      <c r="E44" s="47">
        <f>176889+22260</f>
        <v>199149</v>
      </c>
      <c r="F44" s="47">
        <f>58877+1589</f>
        <v>60466</v>
      </c>
    </row>
    <row r="45" spans="1:6" s="110" customFormat="1" ht="52.5" customHeight="1">
      <c r="A45" s="126" t="s">
        <v>63</v>
      </c>
      <c r="B45" s="111" t="s">
        <v>64</v>
      </c>
      <c r="C45" s="46"/>
      <c r="D45" s="46">
        <v>75508</v>
      </c>
      <c r="E45" s="46"/>
      <c r="F45" s="46"/>
    </row>
    <row r="46" spans="1:6" s="110" customFormat="1" ht="24.9" customHeight="1">
      <c r="A46" s="108"/>
      <c r="B46" s="48" t="s">
        <v>65</v>
      </c>
      <c r="C46" s="46"/>
      <c r="D46" s="46">
        <v>10654</v>
      </c>
      <c r="E46" s="46"/>
      <c r="F46" s="46"/>
    </row>
    <row r="47" spans="1:6" s="110" customFormat="1" ht="24.9" customHeight="1">
      <c r="A47" s="108"/>
      <c r="B47" s="48" t="s">
        <v>66</v>
      </c>
      <c r="C47" s="46"/>
      <c r="D47" s="46">
        <v>9600</v>
      </c>
      <c r="E47" s="46"/>
      <c r="F47" s="46"/>
    </row>
    <row r="48" spans="1:6" s="110" customFormat="1" ht="24.9" customHeight="1">
      <c r="A48" s="108" t="s">
        <v>67</v>
      </c>
      <c r="B48" s="48" t="s">
        <v>68</v>
      </c>
      <c r="C48" s="46"/>
      <c r="D48" s="46">
        <v>7380</v>
      </c>
      <c r="E48" s="46"/>
      <c r="F48" s="46"/>
    </row>
    <row r="49" spans="1:6" s="110" customFormat="1" ht="24.9" customHeight="1">
      <c r="A49" s="108" t="s">
        <v>69</v>
      </c>
      <c r="B49" s="48" t="s">
        <v>70</v>
      </c>
      <c r="C49" s="46"/>
      <c r="D49" s="46">
        <v>8250</v>
      </c>
      <c r="E49" s="46"/>
      <c r="F49" s="46"/>
    </row>
    <row r="50" spans="1:6" s="110" customFormat="1" ht="24.9" customHeight="1">
      <c r="A50" s="108" t="s">
        <v>71</v>
      </c>
      <c r="B50" s="48" t="s">
        <v>72</v>
      </c>
      <c r="C50" s="46"/>
      <c r="D50" s="46">
        <v>3000</v>
      </c>
      <c r="E50" s="46"/>
      <c r="F50" s="46"/>
    </row>
    <row r="51" spans="1:6" s="110" customFormat="1" ht="24.9" customHeight="1">
      <c r="A51" s="108" t="s">
        <v>73</v>
      </c>
      <c r="B51" s="48" t="s">
        <v>580</v>
      </c>
      <c r="C51" s="46"/>
      <c r="D51" s="46">
        <v>1000</v>
      </c>
      <c r="E51" s="46"/>
      <c r="F51" s="46"/>
    </row>
    <row r="52" spans="1:6" s="110" customFormat="1" ht="24.9" customHeight="1">
      <c r="A52" s="108" t="s">
        <v>74</v>
      </c>
      <c r="B52" s="48" t="s">
        <v>75</v>
      </c>
      <c r="C52" s="46"/>
      <c r="D52" s="46">
        <v>7391</v>
      </c>
      <c r="E52" s="46"/>
      <c r="F52" s="46"/>
    </row>
    <row r="53" spans="1:6" s="110" customFormat="1" ht="24.9" customHeight="1">
      <c r="A53" s="108" t="s">
        <v>76</v>
      </c>
      <c r="B53" s="48" t="s">
        <v>77</v>
      </c>
      <c r="C53" s="46"/>
      <c r="D53" s="46">
        <v>20000</v>
      </c>
      <c r="E53" s="46"/>
      <c r="F53" s="46"/>
    </row>
    <row r="54" spans="1:6" s="110" customFormat="1" ht="24.9" customHeight="1">
      <c r="A54" s="108" t="s">
        <v>78</v>
      </c>
      <c r="B54" s="48" t="s">
        <v>79</v>
      </c>
      <c r="C54" s="46"/>
      <c r="D54" s="46">
        <v>17719</v>
      </c>
      <c r="E54" s="46"/>
      <c r="F54" s="46"/>
    </row>
    <row r="55" spans="1:6" s="110" customFormat="1" ht="24.9" customHeight="1">
      <c r="A55" s="108" t="s">
        <v>80</v>
      </c>
      <c r="B55" s="48" t="s">
        <v>81</v>
      </c>
      <c r="C55" s="46"/>
      <c r="D55" s="46">
        <v>1643</v>
      </c>
      <c r="E55" s="46"/>
      <c r="F55" s="46"/>
    </row>
    <row r="56" spans="1:6" s="110" customFormat="1" ht="24.9" customHeight="1">
      <c r="A56" s="108" t="s">
        <v>82</v>
      </c>
      <c r="B56" s="48" t="s">
        <v>628</v>
      </c>
      <c r="C56" s="46"/>
      <c r="D56" s="46">
        <v>3000</v>
      </c>
      <c r="E56" s="46"/>
      <c r="F56" s="46"/>
    </row>
    <row r="57" spans="1:6" s="110" customFormat="1" ht="24.9" customHeight="1">
      <c r="A57" s="108" t="s">
        <v>83</v>
      </c>
      <c r="B57" s="48" t="s">
        <v>84</v>
      </c>
      <c r="C57" s="46"/>
      <c r="D57" s="46">
        <v>4500</v>
      </c>
      <c r="E57" s="46"/>
      <c r="F57" s="46"/>
    </row>
    <row r="58" spans="1:6" s="110" customFormat="1" ht="24.9" customHeight="1">
      <c r="A58" s="108" t="s">
        <v>85</v>
      </c>
      <c r="B58" s="48" t="s">
        <v>86</v>
      </c>
      <c r="C58" s="46"/>
      <c r="D58" s="46">
        <f>D59+D69</f>
        <v>32024</v>
      </c>
      <c r="E58" s="46"/>
      <c r="F58" s="46"/>
    </row>
    <row r="59" spans="1:6" s="110" customFormat="1" ht="24.9" customHeight="1">
      <c r="A59" s="108" t="s">
        <v>39</v>
      </c>
      <c r="B59" s="48" t="s">
        <v>87</v>
      </c>
      <c r="C59" s="46"/>
      <c r="D59" s="46">
        <f>SUM(D60:D68)</f>
        <v>14024</v>
      </c>
      <c r="E59" s="46"/>
      <c r="F59" s="46"/>
    </row>
    <row r="60" spans="1:6" s="110" customFormat="1" ht="24.9" customHeight="1">
      <c r="A60" s="108"/>
      <c r="B60" s="48" t="s">
        <v>88</v>
      </c>
      <c r="C60" s="46"/>
      <c r="D60" s="46">
        <f>7100+874+500</f>
        <v>8474</v>
      </c>
      <c r="E60" s="46"/>
      <c r="F60" s="46"/>
    </row>
    <row r="61" spans="1:6" s="110" customFormat="1" ht="24.9" customHeight="1">
      <c r="A61" s="108"/>
      <c r="B61" s="48" t="s">
        <v>89</v>
      </c>
      <c r="C61" s="46"/>
      <c r="D61" s="46">
        <v>1700</v>
      </c>
      <c r="E61" s="46"/>
      <c r="F61" s="46"/>
    </row>
    <row r="62" spans="1:6" s="110" customFormat="1" ht="24.9" customHeight="1">
      <c r="A62" s="108"/>
      <c r="B62" s="48" t="s">
        <v>90</v>
      </c>
      <c r="C62" s="46"/>
      <c r="D62" s="46">
        <v>250</v>
      </c>
      <c r="E62" s="46"/>
      <c r="F62" s="46"/>
    </row>
    <row r="63" spans="1:6" s="109" customFormat="1" ht="25.95" customHeight="1">
      <c r="A63" s="127"/>
      <c r="B63" s="48" t="s">
        <v>690</v>
      </c>
      <c r="C63" s="48"/>
      <c r="D63" s="48">
        <v>500</v>
      </c>
      <c r="E63" s="48"/>
      <c r="F63" s="48"/>
    </row>
    <row r="64" spans="1:6" s="110" customFormat="1" ht="24.9" customHeight="1">
      <c r="A64" s="108"/>
      <c r="B64" s="48" t="s">
        <v>581</v>
      </c>
      <c r="C64" s="46"/>
      <c r="D64" s="46">
        <v>200</v>
      </c>
      <c r="E64" s="46"/>
      <c r="F64" s="46"/>
    </row>
    <row r="65" spans="1:6" s="110" customFormat="1" ht="24.9" customHeight="1">
      <c r="A65" s="108"/>
      <c r="B65" s="48" t="s">
        <v>91</v>
      </c>
      <c r="C65" s="46"/>
      <c r="D65" s="46">
        <v>500</v>
      </c>
      <c r="E65" s="46"/>
      <c r="F65" s="46"/>
    </row>
    <row r="66" spans="1:6" s="110" customFormat="1" ht="24.9" customHeight="1">
      <c r="A66" s="108"/>
      <c r="B66" s="48" t="s">
        <v>92</v>
      </c>
      <c r="C66" s="46"/>
      <c r="D66" s="46">
        <v>200</v>
      </c>
      <c r="E66" s="46"/>
      <c r="F66" s="46"/>
    </row>
    <row r="67" spans="1:6" s="110" customFormat="1" ht="24.9" customHeight="1">
      <c r="A67" s="108"/>
      <c r="B67" s="48" t="s">
        <v>93</v>
      </c>
      <c r="C67" s="46"/>
      <c r="D67" s="46">
        <v>200</v>
      </c>
      <c r="E67" s="46"/>
      <c r="F67" s="46"/>
    </row>
    <row r="68" spans="1:6" s="110" customFormat="1" ht="24.9" customHeight="1">
      <c r="A68" s="108"/>
      <c r="B68" s="48" t="s">
        <v>94</v>
      </c>
      <c r="C68" s="46"/>
      <c r="D68" s="46">
        <v>2000</v>
      </c>
      <c r="E68" s="46"/>
      <c r="F68" s="46"/>
    </row>
    <row r="69" spans="1:6" s="110" customFormat="1" ht="24.9" customHeight="1">
      <c r="A69" s="108" t="s">
        <v>42</v>
      </c>
      <c r="B69" s="48" t="s">
        <v>582</v>
      </c>
      <c r="C69" s="46"/>
      <c r="D69" s="46">
        <v>18000</v>
      </c>
      <c r="E69" s="46"/>
      <c r="F69" s="46"/>
    </row>
    <row r="70" spans="1:6" s="110" customFormat="1" ht="24.9" customHeight="1">
      <c r="A70" s="108" t="s">
        <v>95</v>
      </c>
      <c r="B70" s="48" t="s">
        <v>614</v>
      </c>
      <c r="C70" s="46"/>
      <c r="D70" s="46">
        <v>5000</v>
      </c>
      <c r="E70" s="46"/>
      <c r="F70" s="46"/>
    </row>
    <row r="71" spans="1:6" s="110" customFormat="1" ht="24.9" customHeight="1">
      <c r="A71" s="108" t="s">
        <v>96</v>
      </c>
      <c r="B71" s="48" t="s">
        <v>97</v>
      </c>
      <c r="C71" s="46"/>
      <c r="D71" s="46">
        <v>5000</v>
      </c>
      <c r="E71" s="46"/>
      <c r="F71" s="46"/>
    </row>
    <row r="72" spans="1:6" s="110" customFormat="1" ht="24.9" customHeight="1">
      <c r="A72" s="108" t="s">
        <v>98</v>
      </c>
      <c r="B72" s="48" t="s">
        <v>99</v>
      </c>
      <c r="C72" s="46"/>
      <c r="D72" s="46">
        <v>5000</v>
      </c>
      <c r="E72" s="46"/>
      <c r="F72" s="46"/>
    </row>
    <row r="73" spans="1:6" s="110" customFormat="1" ht="24.9" customHeight="1">
      <c r="A73" s="128" t="s">
        <v>100</v>
      </c>
      <c r="B73" s="48" t="s">
        <v>616</v>
      </c>
      <c r="C73" s="46"/>
      <c r="D73" s="46">
        <f>12459+123000</f>
        <v>135459</v>
      </c>
      <c r="E73" s="46"/>
      <c r="F73" s="46"/>
    </row>
    <row r="74" spans="1:6" s="110" customFormat="1" ht="28.5" customHeight="1">
      <c r="A74" s="128" t="s">
        <v>101</v>
      </c>
      <c r="B74" s="48" t="s">
        <v>102</v>
      </c>
      <c r="C74" s="46"/>
      <c r="D74" s="46"/>
      <c r="E74" s="46">
        <v>14000</v>
      </c>
      <c r="F74" s="46"/>
    </row>
    <row r="75" spans="1:6" s="110" customFormat="1" ht="24.9" customHeight="1">
      <c r="A75" s="129">
        <v>2</v>
      </c>
      <c r="B75" s="107" t="s">
        <v>103</v>
      </c>
      <c r="C75" s="47">
        <f>D75+E75+F75</f>
        <v>57332</v>
      </c>
      <c r="D75" s="47">
        <f>SUM(D76:D80)</f>
        <v>17160</v>
      </c>
      <c r="E75" s="47">
        <f>25240+5505</f>
        <v>30745</v>
      </c>
      <c r="F75" s="47">
        <f>6500+2927</f>
        <v>9427</v>
      </c>
    </row>
    <row r="76" spans="1:6" s="110" customFormat="1" ht="24.9" customHeight="1">
      <c r="A76" s="130"/>
      <c r="B76" s="48" t="s">
        <v>723</v>
      </c>
      <c r="C76" s="46"/>
      <c r="D76" s="46"/>
      <c r="E76" s="46">
        <v>14240</v>
      </c>
      <c r="F76" s="46"/>
    </row>
    <row r="77" spans="1:6" s="110" customFormat="1" ht="24.9" customHeight="1">
      <c r="A77" s="130"/>
      <c r="B77" s="48" t="s">
        <v>583</v>
      </c>
      <c r="C77" s="46"/>
      <c r="D77" s="46">
        <v>5960</v>
      </c>
      <c r="E77" s="46"/>
      <c r="F77" s="46"/>
    </row>
    <row r="78" spans="1:6" s="123" customFormat="1" ht="39" customHeight="1">
      <c r="A78" s="122"/>
      <c r="B78" s="111" t="s">
        <v>104</v>
      </c>
      <c r="C78" s="105"/>
      <c r="D78" s="46">
        <v>2000</v>
      </c>
      <c r="E78" s="105"/>
      <c r="F78" s="105"/>
    </row>
    <row r="79" spans="1:6" s="110" customFormat="1" ht="24.9" customHeight="1">
      <c r="A79" s="130"/>
      <c r="B79" s="48" t="s">
        <v>691</v>
      </c>
      <c r="C79" s="46"/>
      <c r="D79" s="46">
        <v>8000</v>
      </c>
      <c r="E79" s="46"/>
      <c r="F79" s="46"/>
    </row>
    <row r="80" spans="1:6" s="110" customFormat="1" ht="24.9" customHeight="1">
      <c r="A80" s="130"/>
      <c r="B80" s="48" t="s">
        <v>105</v>
      </c>
      <c r="C80" s="46"/>
      <c r="D80" s="46">
        <v>1200</v>
      </c>
      <c r="E80" s="46">
        <v>1500</v>
      </c>
      <c r="F80" s="46">
        <v>1500</v>
      </c>
    </row>
    <row r="81" spans="1:6" s="124" customFormat="1" ht="24.9" customHeight="1">
      <c r="A81" s="119">
        <v>3</v>
      </c>
      <c r="B81" s="107" t="s">
        <v>106</v>
      </c>
      <c r="C81" s="47">
        <f>D81+E81+F81</f>
        <v>3286057</v>
      </c>
      <c r="D81" s="47">
        <f>D82+D92</f>
        <v>888607</v>
      </c>
      <c r="E81" s="47">
        <f>2176685+142181+22000+3000</f>
        <v>2343866</v>
      </c>
      <c r="F81" s="47">
        <v>53584</v>
      </c>
    </row>
    <row r="82" spans="1:6" s="110" customFormat="1" ht="24.9" customHeight="1">
      <c r="A82" s="108"/>
      <c r="B82" s="115" t="s">
        <v>107</v>
      </c>
      <c r="C82" s="105"/>
      <c r="D82" s="105">
        <f>D83+D84+D85+D86+D87+D89+D90+D91+D88</f>
        <v>708686</v>
      </c>
      <c r="E82" s="105"/>
      <c r="F82" s="105"/>
    </row>
    <row r="83" spans="1:6" s="110" customFormat="1" ht="24.9" customHeight="1">
      <c r="A83" s="108"/>
      <c r="B83" s="48" t="s">
        <v>108</v>
      </c>
      <c r="C83" s="46"/>
      <c r="D83" s="46">
        <f>406500-20000</f>
        <v>386500</v>
      </c>
      <c r="E83" s="46"/>
      <c r="F83" s="46"/>
    </row>
    <row r="84" spans="1:6" s="110" customFormat="1" ht="24.9" customHeight="1">
      <c r="A84" s="108"/>
      <c r="B84" s="48" t="s">
        <v>109</v>
      </c>
      <c r="C84" s="46"/>
      <c r="D84" s="46">
        <v>21562</v>
      </c>
      <c r="E84" s="46">
        <v>40000</v>
      </c>
      <c r="F84" s="46"/>
    </row>
    <row r="85" spans="1:6" s="110" customFormat="1" ht="27.75" customHeight="1">
      <c r="A85" s="108"/>
      <c r="B85" s="48" t="s">
        <v>110</v>
      </c>
      <c r="C85" s="46"/>
      <c r="D85" s="46">
        <v>50944</v>
      </c>
      <c r="E85" s="46"/>
      <c r="F85" s="46"/>
    </row>
    <row r="86" spans="1:6" s="110" customFormat="1" ht="39" customHeight="1">
      <c r="A86" s="108"/>
      <c r="B86" s="111" t="s">
        <v>611</v>
      </c>
      <c r="C86" s="46"/>
      <c r="D86" s="46">
        <v>76568</v>
      </c>
      <c r="E86" s="46"/>
      <c r="F86" s="46"/>
    </row>
    <row r="87" spans="1:6" s="110" customFormat="1" ht="24.9" customHeight="1">
      <c r="A87" s="108"/>
      <c r="B87" s="48" t="s">
        <v>111</v>
      </c>
      <c r="C87" s="46"/>
      <c r="D87" s="46">
        <v>10000</v>
      </c>
      <c r="E87" s="46"/>
      <c r="F87" s="46"/>
    </row>
    <row r="88" spans="1:6" s="110" customFormat="1" ht="24.9" customHeight="1">
      <c r="A88" s="108"/>
      <c r="B88" s="48" t="s">
        <v>112</v>
      </c>
      <c r="C88" s="46"/>
      <c r="D88" s="46">
        <v>30000</v>
      </c>
      <c r="E88" s="46"/>
      <c r="F88" s="46"/>
    </row>
    <row r="89" spans="1:6" s="110" customFormat="1" ht="24.9" customHeight="1">
      <c r="A89" s="108"/>
      <c r="B89" s="48" t="s">
        <v>687</v>
      </c>
      <c r="C89" s="46"/>
      <c r="D89" s="46">
        <f>77617+105</f>
        <v>77722</v>
      </c>
      <c r="E89" s="46"/>
      <c r="F89" s="46"/>
    </row>
    <row r="90" spans="1:6" s="110" customFormat="1" ht="24.9" customHeight="1">
      <c r="A90" s="108"/>
      <c r="B90" s="48" t="s">
        <v>113</v>
      </c>
      <c r="C90" s="46"/>
      <c r="D90" s="46">
        <f>15000-5279+12012-100</f>
        <v>21633</v>
      </c>
      <c r="E90" s="46"/>
      <c r="F90" s="46"/>
    </row>
    <row r="91" spans="1:6" s="110" customFormat="1" ht="30.6" customHeight="1">
      <c r="A91" s="108"/>
      <c r="B91" s="111" t="s">
        <v>584</v>
      </c>
      <c r="C91" s="46"/>
      <c r="D91" s="46">
        <f>5000-3328+2000+16000+14085</f>
        <v>33757</v>
      </c>
      <c r="E91" s="46"/>
      <c r="F91" s="46"/>
    </row>
    <row r="92" spans="1:6" s="123" customFormat="1" ht="24.9" customHeight="1">
      <c r="A92" s="122"/>
      <c r="B92" s="115" t="s">
        <v>115</v>
      </c>
      <c r="C92" s="105"/>
      <c r="D92" s="105">
        <f>SUM(D93:D100)</f>
        <v>179921</v>
      </c>
      <c r="E92" s="105"/>
      <c r="F92" s="105"/>
    </row>
    <row r="93" spans="1:6" s="110" customFormat="1" ht="28.2" customHeight="1">
      <c r="A93" s="108"/>
      <c r="B93" s="111" t="s">
        <v>692</v>
      </c>
      <c r="C93" s="46"/>
      <c r="D93" s="46">
        <v>114721</v>
      </c>
      <c r="E93" s="46"/>
      <c r="F93" s="46"/>
    </row>
    <row r="94" spans="1:6" s="110" customFormat="1" ht="24.9" customHeight="1">
      <c r="A94" s="108"/>
      <c r="B94" s="48" t="s">
        <v>116</v>
      </c>
      <c r="C94" s="46"/>
      <c r="D94" s="46">
        <v>5000</v>
      </c>
      <c r="E94" s="46"/>
      <c r="F94" s="46"/>
    </row>
    <row r="95" spans="1:6" s="110" customFormat="1" ht="24.9" customHeight="1">
      <c r="A95" s="108"/>
      <c r="B95" s="48" t="s">
        <v>117</v>
      </c>
      <c r="C95" s="46"/>
      <c r="D95" s="46">
        <v>1000</v>
      </c>
      <c r="E95" s="46"/>
      <c r="F95" s="46"/>
    </row>
    <row r="96" spans="1:6" s="110" customFormat="1" ht="24.9" customHeight="1">
      <c r="A96" s="108"/>
      <c r="B96" s="48" t="s">
        <v>118</v>
      </c>
      <c r="C96" s="46"/>
      <c r="D96" s="46">
        <v>1000</v>
      </c>
      <c r="E96" s="46"/>
      <c r="F96" s="46"/>
    </row>
    <row r="97" spans="1:6" s="110" customFormat="1" ht="24.9" customHeight="1">
      <c r="A97" s="108"/>
      <c r="B97" s="48" t="s">
        <v>119</v>
      </c>
      <c r="C97" s="46"/>
      <c r="D97" s="46">
        <v>7000</v>
      </c>
      <c r="E97" s="46"/>
      <c r="F97" s="46"/>
    </row>
    <row r="98" spans="1:6" s="109" customFormat="1" ht="39" customHeight="1">
      <c r="A98" s="127"/>
      <c r="B98" s="48" t="s">
        <v>610</v>
      </c>
      <c r="C98" s="48"/>
      <c r="D98" s="48">
        <v>600</v>
      </c>
      <c r="E98" s="48"/>
      <c r="F98" s="48"/>
    </row>
    <row r="99" spans="1:6" s="110" customFormat="1" ht="24.9" customHeight="1">
      <c r="A99" s="108"/>
      <c r="B99" s="48" t="s">
        <v>120</v>
      </c>
      <c r="C99" s="46"/>
      <c r="D99" s="46">
        <v>45600</v>
      </c>
      <c r="E99" s="46"/>
      <c r="F99" s="46"/>
    </row>
    <row r="100" spans="1:6" s="110" customFormat="1" ht="24.9" customHeight="1">
      <c r="A100" s="108"/>
      <c r="B100" s="48" t="s">
        <v>121</v>
      </c>
      <c r="C100" s="46"/>
      <c r="D100" s="46">
        <v>5000</v>
      </c>
      <c r="E100" s="46"/>
      <c r="F100" s="46"/>
    </row>
    <row r="101" spans="1:6" s="124" customFormat="1" ht="24.9" customHeight="1">
      <c r="A101" s="119">
        <v>4</v>
      </c>
      <c r="B101" s="107" t="s">
        <v>122</v>
      </c>
      <c r="C101" s="47">
        <f>D101+E101+F101</f>
        <v>473792</v>
      </c>
      <c r="D101" s="47">
        <f>SUM(D102:D106)</f>
        <v>310761</v>
      </c>
      <c r="E101" s="47">
        <v>38269</v>
      </c>
      <c r="F101" s="47">
        <f>122621+2141</f>
        <v>124762</v>
      </c>
    </row>
    <row r="102" spans="1:6" s="110" customFormat="1" ht="24.9" customHeight="1">
      <c r="A102" s="108"/>
      <c r="B102" s="48" t="s">
        <v>629</v>
      </c>
      <c r="C102" s="46"/>
      <c r="D102" s="46">
        <v>286438</v>
      </c>
      <c r="E102" s="46"/>
      <c r="F102" s="46"/>
    </row>
    <row r="103" spans="1:6" s="110" customFormat="1" ht="30" customHeight="1">
      <c r="A103" s="108"/>
      <c r="B103" s="111" t="s">
        <v>124</v>
      </c>
      <c r="C103" s="46"/>
      <c r="D103" s="46">
        <f>721+314</f>
        <v>1035</v>
      </c>
      <c r="E103" s="46"/>
      <c r="F103" s="46"/>
    </row>
    <row r="104" spans="1:6" s="110" customFormat="1" ht="24.9" customHeight="1">
      <c r="A104" s="108"/>
      <c r="B104" s="48" t="s">
        <v>618</v>
      </c>
      <c r="C104" s="46"/>
      <c r="D104" s="46">
        <v>10000</v>
      </c>
      <c r="E104" s="46"/>
      <c r="F104" s="46"/>
    </row>
    <row r="105" spans="1:6" s="110" customFormat="1" ht="24.9" customHeight="1">
      <c r="A105" s="108"/>
      <c r="B105" s="48" t="s">
        <v>713</v>
      </c>
      <c r="C105" s="46"/>
      <c r="D105" s="46">
        <v>3000</v>
      </c>
      <c r="E105" s="46"/>
      <c r="F105" s="46"/>
    </row>
    <row r="106" spans="1:6" s="110" customFormat="1" ht="28.5" customHeight="1">
      <c r="A106" s="108"/>
      <c r="B106" s="111" t="s">
        <v>714</v>
      </c>
      <c r="C106" s="46"/>
      <c r="D106" s="46">
        <v>10288</v>
      </c>
      <c r="E106" s="46"/>
      <c r="F106" s="46"/>
    </row>
    <row r="107" spans="1:6" s="124" customFormat="1" ht="24.9" customHeight="1">
      <c r="A107" s="119">
        <v>5</v>
      </c>
      <c r="B107" s="107" t="s">
        <v>125</v>
      </c>
      <c r="C107" s="47">
        <f>D107+E107+F107</f>
        <v>97243</v>
      </c>
      <c r="D107" s="47">
        <f>SUM(D108:D117)-D111-D112</f>
        <v>48076</v>
      </c>
      <c r="E107" s="47">
        <v>23450</v>
      </c>
      <c r="F107" s="47">
        <v>25717</v>
      </c>
    </row>
    <row r="108" spans="1:6" s="110" customFormat="1" ht="24.9" customHeight="1">
      <c r="A108" s="108"/>
      <c r="B108" s="48" t="s">
        <v>126</v>
      </c>
      <c r="C108" s="46"/>
      <c r="D108" s="46">
        <f>34232+1500</f>
        <v>35732</v>
      </c>
      <c r="E108" s="46"/>
      <c r="F108" s="46"/>
    </row>
    <row r="109" spans="1:6" s="110" customFormat="1" ht="24.9" customHeight="1">
      <c r="A109" s="108"/>
      <c r="B109" s="48" t="s">
        <v>127</v>
      </c>
      <c r="C109" s="46"/>
      <c r="D109" s="46">
        <v>500</v>
      </c>
      <c r="E109" s="46"/>
      <c r="F109" s="46"/>
    </row>
    <row r="110" spans="1:6" s="110" customFormat="1" ht="24.9" customHeight="1">
      <c r="A110" s="108"/>
      <c r="B110" s="48" t="s">
        <v>585</v>
      </c>
      <c r="C110" s="46"/>
      <c r="D110" s="46">
        <v>605</v>
      </c>
      <c r="E110" s="46"/>
      <c r="F110" s="46"/>
    </row>
    <row r="111" spans="1:6" s="110" customFormat="1" ht="24.9" customHeight="1">
      <c r="A111" s="108"/>
      <c r="B111" s="115" t="s">
        <v>128</v>
      </c>
      <c r="C111" s="105"/>
      <c r="D111" s="105">
        <v>505</v>
      </c>
      <c r="E111" s="46"/>
      <c r="F111" s="46"/>
    </row>
    <row r="112" spans="1:6" s="110" customFormat="1" ht="24.9" customHeight="1">
      <c r="A112" s="108"/>
      <c r="B112" s="115" t="s">
        <v>129</v>
      </c>
      <c r="C112" s="105"/>
      <c r="D112" s="105">
        <v>100</v>
      </c>
      <c r="E112" s="46"/>
      <c r="F112" s="46"/>
    </row>
    <row r="113" spans="1:6" s="110" customFormat="1" ht="24.9" customHeight="1">
      <c r="A113" s="108"/>
      <c r="B113" s="48" t="s">
        <v>123</v>
      </c>
      <c r="C113" s="46"/>
      <c r="D113" s="46">
        <v>2100</v>
      </c>
      <c r="E113" s="46"/>
      <c r="F113" s="46"/>
    </row>
    <row r="114" spans="1:6" s="110" customFormat="1" ht="24.9" customHeight="1">
      <c r="A114" s="108"/>
      <c r="B114" s="48" t="s">
        <v>130</v>
      </c>
      <c r="C114" s="46"/>
      <c r="D114" s="46">
        <v>6384</v>
      </c>
      <c r="E114" s="46"/>
      <c r="F114" s="46"/>
    </row>
    <row r="115" spans="1:6" s="110" customFormat="1" ht="24.9" customHeight="1">
      <c r="A115" s="108"/>
      <c r="B115" s="48" t="s">
        <v>619</v>
      </c>
      <c r="C115" s="46"/>
      <c r="D115" s="46">
        <v>1450</v>
      </c>
      <c r="E115" s="46"/>
      <c r="F115" s="46"/>
    </row>
    <row r="116" spans="1:6" s="110" customFormat="1" ht="39" customHeight="1">
      <c r="A116" s="108"/>
      <c r="B116" s="48" t="s">
        <v>967</v>
      </c>
      <c r="C116" s="46"/>
      <c r="D116" s="46">
        <v>1050</v>
      </c>
      <c r="E116" s="46"/>
      <c r="F116" s="46"/>
    </row>
    <row r="117" spans="1:6" s="110" customFormat="1" ht="24.9" customHeight="1">
      <c r="A117" s="108"/>
      <c r="B117" s="48" t="s">
        <v>131</v>
      </c>
      <c r="C117" s="46"/>
      <c r="D117" s="46">
        <f>112+143</f>
        <v>255</v>
      </c>
      <c r="E117" s="46"/>
      <c r="F117" s="46"/>
    </row>
    <row r="118" spans="1:6" s="124" customFormat="1" ht="24.9" customHeight="1">
      <c r="A118" s="119">
        <v>6</v>
      </c>
      <c r="B118" s="107" t="s">
        <v>132</v>
      </c>
      <c r="C118" s="47">
        <f>D118+E118+F118</f>
        <v>32789</v>
      </c>
      <c r="D118" s="47">
        <f>SUM(D119:D122)</f>
        <v>19400</v>
      </c>
      <c r="E118" s="47">
        <v>13389</v>
      </c>
      <c r="F118" s="47"/>
    </row>
    <row r="119" spans="1:6" s="110" customFormat="1" ht="24.9" customHeight="1">
      <c r="A119" s="108"/>
      <c r="B119" s="48" t="s">
        <v>126</v>
      </c>
      <c r="C119" s="46"/>
      <c r="D119" s="46">
        <v>15000</v>
      </c>
      <c r="E119" s="46"/>
      <c r="F119" s="46"/>
    </row>
    <row r="120" spans="1:6" s="110" customFormat="1" ht="24.9" customHeight="1">
      <c r="A120" s="108"/>
      <c r="B120" s="48" t="s">
        <v>133</v>
      </c>
      <c r="C120" s="46"/>
      <c r="D120" s="46">
        <v>1400</v>
      </c>
      <c r="E120" s="46"/>
      <c r="F120" s="46"/>
    </row>
    <row r="121" spans="1:6" s="110" customFormat="1" ht="24.9" customHeight="1">
      <c r="A121" s="108"/>
      <c r="B121" s="48" t="s">
        <v>134</v>
      </c>
      <c r="C121" s="46"/>
      <c r="D121" s="46">
        <v>2000</v>
      </c>
      <c r="E121" s="46"/>
      <c r="F121" s="46"/>
    </row>
    <row r="122" spans="1:6" s="110" customFormat="1" ht="24.9" customHeight="1">
      <c r="A122" s="108"/>
      <c r="B122" s="48" t="s">
        <v>135</v>
      </c>
      <c r="C122" s="46"/>
      <c r="D122" s="46">
        <v>1000</v>
      </c>
      <c r="E122" s="46"/>
      <c r="F122" s="46"/>
    </row>
    <row r="123" spans="1:6" s="124" customFormat="1" ht="24.9" customHeight="1">
      <c r="A123" s="119">
        <v>7</v>
      </c>
      <c r="B123" s="107" t="s">
        <v>136</v>
      </c>
      <c r="C123" s="47">
        <f>D123+E123+F123</f>
        <v>4400</v>
      </c>
      <c r="D123" s="47">
        <f>SUM(D124:D125)</f>
        <v>4400</v>
      </c>
      <c r="E123" s="47"/>
      <c r="F123" s="47"/>
    </row>
    <row r="124" spans="1:6" s="110" customFormat="1" ht="24.9" customHeight="1">
      <c r="A124" s="108"/>
      <c r="B124" s="48" t="s">
        <v>126</v>
      </c>
      <c r="C124" s="46"/>
      <c r="D124" s="46">
        <v>3900</v>
      </c>
      <c r="E124" s="46"/>
      <c r="F124" s="46"/>
    </row>
    <row r="125" spans="1:6" s="110" customFormat="1" ht="24.9" customHeight="1">
      <c r="A125" s="108"/>
      <c r="B125" s="48" t="s">
        <v>620</v>
      </c>
      <c r="C125" s="46"/>
      <c r="D125" s="46">
        <v>500</v>
      </c>
      <c r="E125" s="46"/>
      <c r="F125" s="46"/>
    </row>
    <row r="126" spans="1:6" s="124" customFormat="1" ht="24.9" customHeight="1">
      <c r="A126" s="119">
        <v>8</v>
      </c>
      <c r="B126" s="107" t="s">
        <v>137</v>
      </c>
      <c r="C126" s="47">
        <v>28552</v>
      </c>
      <c r="D126" s="47">
        <f>D127+D128</f>
        <v>28552</v>
      </c>
      <c r="E126" s="47"/>
      <c r="F126" s="47"/>
    </row>
    <row r="127" spans="1:6" s="110" customFormat="1" ht="24.9" customHeight="1">
      <c r="A127" s="108"/>
      <c r="B127" s="48" t="s">
        <v>138</v>
      </c>
      <c r="C127" s="46"/>
      <c r="D127" s="46">
        <f>27052+900</f>
        <v>27952</v>
      </c>
      <c r="E127" s="46"/>
      <c r="F127" s="46"/>
    </row>
    <row r="128" spans="1:6" s="110" customFormat="1" ht="24.9" customHeight="1">
      <c r="A128" s="108"/>
      <c r="B128" s="48" t="s">
        <v>139</v>
      </c>
      <c r="C128" s="46"/>
      <c r="D128" s="46">
        <v>600</v>
      </c>
      <c r="E128" s="46"/>
      <c r="F128" s="46"/>
    </row>
    <row r="129" spans="1:6" s="124" customFormat="1" ht="24.9" customHeight="1">
      <c r="A129" s="119">
        <v>9</v>
      </c>
      <c r="B129" s="107" t="s">
        <v>140</v>
      </c>
      <c r="C129" s="47">
        <f>D129+E129+F129</f>
        <v>654728</v>
      </c>
      <c r="D129" s="47">
        <f>D130+D131+D132+D135+D136+D137+D147+D148+D149+D150+D151</f>
        <v>276546</v>
      </c>
      <c r="E129" s="47">
        <f>89530-14643</f>
        <v>74887</v>
      </c>
      <c r="F129" s="47">
        <v>303295</v>
      </c>
    </row>
    <row r="130" spans="1:6" s="110" customFormat="1" ht="24.9" customHeight="1">
      <c r="A130" s="108"/>
      <c r="B130" s="48" t="s">
        <v>965</v>
      </c>
      <c r="C130" s="46"/>
      <c r="D130" s="46">
        <v>17729</v>
      </c>
      <c r="E130" s="46"/>
      <c r="F130" s="46"/>
    </row>
    <row r="131" spans="1:6" s="110" customFormat="1" ht="24.9" customHeight="1">
      <c r="A131" s="108"/>
      <c r="B131" s="48" t="s">
        <v>141</v>
      </c>
      <c r="C131" s="46"/>
      <c r="D131" s="46">
        <v>160</v>
      </c>
      <c r="E131" s="46"/>
      <c r="F131" s="46"/>
    </row>
    <row r="132" spans="1:6" s="110" customFormat="1" ht="24.9" customHeight="1">
      <c r="A132" s="108"/>
      <c r="B132" s="48" t="s">
        <v>142</v>
      </c>
      <c r="C132" s="46"/>
      <c r="D132" s="46">
        <v>3898</v>
      </c>
      <c r="E132" s="46"/>
      <c r="F132" s="46"/>
    </row>
    <row r="133" spans="1:6" s="123" customFormat="1" ht="24.9" customHeight="1">
      <c r="A133" s="122"/>
      <c r="B133" s="115" t="s">
        <v>143</v>
      </c>
      <c r="C133" s="105"/>
      <c r="D133" s="105">
        <v>600</v>
      </c>
      <c r="E133" s="105"/>
      <c r="F133" s="105"/>
    </row>
    <row r="134" spans="1:6" s="123" customFormat="1" ht="24.9" customHeight="1">
      <c r="A134" s="122"/>
      <c r="B134" s="115" t="s">
        <v>144</v>
      </c>
      <c r="C134" s="105"/>
      <c r="D134" s="105">
        <v>1200</v>
      </c>
      <c r="E134" s="105"/>
      <c r="F134" s="105"/>
    </row>
    <row r="135" spans="1:6" s="110" customFormat="1" ht="24.9" customHeight="1">
      <c r="A135" s="108"/>
      <c r="B135" s="48" t="s">
        <v>145</v>
      </c>
      <c r="C135" s="46"/>
      <c r="D135" s="46">
        <v>10000</v>
      </c>
      <c r="E135" s="46"/>
      <c r="F135" s="46"/>
    </row>
    <row r="136" spans="1:6" s="110" customFormat="1" ht="24.9" customHeight="1">
      <c r="A136" s="108"/>
      <c r="B136" s="48" t="s">
        <v>146</v>
      </c>
      <c r="C136" s="46"/>
      <c r="D136" s="46">
        <v>10000</v>
      </c>
      <c r="E136" s="46"/>
      <c r="F136" s="46"/>
    </row>
    <row r="137" spans="1:6" s="110" customFormat="1" ht="24.9" customHeight="1">
      <c r="A137" s="108"/>
      <c r="B137" s="48" t="s">
        <v>147</v>
      </c>
      <c r="C137" s="46"/>
      <c r="D137" s="46">
        <v>21000</v>
      </c>
      <c r="E137" s="46"/>
      <c r="F137" s="46"/>
    </row>
    <row r="138" spans="1:6" s="110" customFormat="1" ht="24.9" customHeight="1">
      <c r="A138" s="108"/>
      <c r="B138" s="48" t="s">
        <v>148</v>
      </c>
      <c r="C138" s="46"/>
      <c r="D138" s="46">
        <v>570</v>
      </c>
      <c r="E138" s="46"/>
      <c r="F138" s="46"/>
    </row>
    <row r="139" spans="1:6" s="110" customFormat="1" ht="24.9" customHeight="1">
      <c r="A139" s="108"/>
      <c r="B139" s="48" t="s">
        <v>149</v>
      </c>
      <c r="C139" s="46"/>
      <c r="D139" s="46">
        <v>250</v>
      </c>
      <c r="E139" s="46"/>
      <c r="F139" s="46"/>
    </row>
    <row r="140" spans="1:6" s="110" customFormat="1" ht="24.9" customHeight="1">
      <c r="A140" s="108"/>
      <c r="B140" s="48" t="s">
        <v>150</v>
      </c>
      <c r="C140" s="46"/>
      <c r="D140" s="46">
        <v>450</v>
      </c>
      <c r="E140" s="46"/>
      <c r="F140" s="46"/>
    </row>
    <row r="141" spans="1:6" s="110" customFormat="1" ht="24.9" customHeight="1">
      <c r="A141" s="108"/>
      <c r="B141" s="48" t="s">
        <v>151</v>
      </c>
      <c r="C141" s="46"/>
      <c r="D141" s="46">
        <v>160</v>
      </c>
      <c r="E141" s="46"/>
      <c r="F141" s="46"/>
    </row>
    <row r="142" spans="1:6" s="110" customFormat="1" ht="24.9" customHeight="1">
      <c r="A142" s="108"/>
      <c r="B142" s="48" t="s">
        <v>152</v>
      </c>
      <c r="C142" s="46"/>
      <c r="D142" s="46">
        <v>160</v>
      </c>
      <c r="E142" s="46"/>
      <c r="F142" s="46"/>
    </row>
    <row r="143" spans="1:6" s="110" customFormat="1" ht="24.9" customHeight="1">
      <c r="A143" s="108"/>
      <c r="B143" s="48" t="s">
        <v>153</v>
      </c>
      <c r="C143" s="46"/>
      <c r="D143" s="46">
        <v>200</v>
      </c>
      <c r="E143" s="46"/>
      <c r="F143" s="46"/>
    </row>
    <row r="144" spans="1:6" s="110" customFormat="1" ht="24.9" customHeight="1">
      <c r="A144" s="108"/>
      <c r="B144" s="48" t="s">
        <v>154</v>
      </c>
      <c r="C144" s="46"/>
      <c r="D144" s="46">
        <v>943</v>
      </c>
      <c r="E144" s="46"/>
      <c r="F144" s="46"/>
    </row>
    <row r="145" spans="1:6" s="110" customFormat="1" ht="39" customHeight="1">
      <c r="A145" s="108"/>
      <c r="B145" s="131" t="s">
        <v>586</v>
      </c>
      <c r="C145" s="46"/>
      <c r="D145" s="46">
        <f>800+300</f>
        <v>1100</v>
      </c>
      <c r="E145" s="46"/>
      <c r="F145" s="46"/>
    </row>
    <row r="146" spans="1:6" s="110" customFormat="1" ht="39" customHeight="1">
      <c r="A146" s="108"/>
      <c r="B146" s="131" t="s">
        <v>630</v>
      </c>
      <c r="C146" s="46"/>
      <c r="D146" s="46">
        <v>700</v>
      </c>
      <c r="E146" s="46"/>
      <c r="F146" s="46"/>
    </row>
    <row r="147" spans="1:6" s="110" customFormat="1" ht="24.9" customHeight="1">
      <c r="A147" s="108"/>
      <c r="B147" s="48" t="s">
        <v>155</v>
      </c>
      <c r="C147" s="46"/>
      <c r="D147" s="46">
        <f>45500+13700</f>
        <v>59200</v>
      </c>
      <c r="E147" s="46"/>
      <c r="F147" s="46"/>
    </row>
    <row r="148" spans="1:6" s="110" customFormat="1" ht="24.9" customHeight="1">
      <c r="A148" s="108"/>
      <c r="B148" s="48" t="s">
        <v>686</v>
      </c>
      <c r="C148" s="46"/>
      <c r="D148" s="46">
        <f>84100-39113-760-10000-2039-10000+45571-26984-200</f>
        <v>40575</v>
      </c>
      <c r="E148" s="46"/>
      <c r="F148" s="46"/>
    </row>
    <row r="149" spans="1:6" s="110" customFormat="1" ht="24.9" customHeight="1">
      <c r="A149" s="108"/>
      <c r="B149" s="48" t="s">
        <v>156</v>
      </c>
      <c r="C149" s="46"/>
      <c r="D149" s="46">
        <v>14500</v>
      </c>
      <c r="E149" s="46"/>
      <c r="F149" s="46"/>
    </row>
    <row r="150" spans="1:6" s="110" customFormat="1" ht="24.9" customHeight="1">
      <c r="A150" s="108"/>
      <c r="B150" s="48" t="s">
        <v>157</v>
      </c>
      <c r="C150" s="46"/>
      <c r="D150" s="46">
        <v>72500</v>
      </c>
      <c r="E150" s="46"/>
      <c r="F150" s="46"/>
    </row>
    <row r="151" spans="1:6" s="110" customFormat="1" ht="24.9" customHeight="1">
      <c r="A151" s="108"/>
      <c r="B151" s="48" t="s">
        <v>615</v>
      </c>
      <c r="C151" s="46"/>
      <c r="D151" s="46">
        <v>26984</v>
      </c>
      <c r="E151" s="46"/>
      <c r="F151" s="46"/>
    </row>
    <row r="152" spans="1:6" s="124" customFormat="1" ht="24.9" customHeight="1">
      <c r="A152" s="119">
        <v>10</v>
      </c>
      <c r="B152" s="107" t="s">
        <v>158</v>
      </c>
      <c r="C152" s="47">
        <f>D152+E152+F152</f>
        <v>100661</v>
      </c>
      <c r="D152" s="47">
        <f>D153+D167</f>
        <v>61100</v>
      </c>
      <c r="E152" s="47">
        <f>15274+5505</f>
        <v>20779</v>
      </c>
      <c r="F152" s="47">
        <f>16782+2000</f>
        <v>18782</v>
      </c>
    </row>
    <row r="153" spans="1:6" s="110" customFormat="1" ht="24.9" customHeight="1">
      <c r="A153" s="122"/>
      <c r="B153" s="115" t="s">
        <v>159</v>
      </c>
      <c r="C153" s="105"/>
      <c r="D153" s="105">
        <f>SUM(D154:D166)</f>
        <v>43600</v>
      </c>
      <c r="E153" s="105"/>
      <c r="F153" s="105"/>
    </row>
    <row r="154" spans="1:6" s="110" customFormat="1" ht="24.9" customHeight="1">
      <c r="A154" s="108"/>
      <c r="B154" s="48" t="s">
        <v>160</v>
      </c>
      <c r="C154" s="46"/>
      <c r="D154" s="46">
        <v>11500</v>
      </c>
      <c r="E154" s="46"/>
      <c r="F154" s="46"/>
    </row>
    <row r="155" spans="1:6" s="110" customFormat="1" ht="24.9" customHeight="1">
      <c r="A155" s="108"/>
      <c r="B155" s="48" t="s">
        <v>161</v>
      </c>
      <c r="C155" s="46"/>
      <c r="D155" s="46">
        <v>200</v>
      </c>
      <c r="E155" s="46"/>
      <c r="F155" s="46"/>
    </row>
    <row r="156" spans="1:6" s="110" customFormat="1" ht="24.9" customHeight="1">
      <c r="A156" s="108"/>
      <c r="B156" s="48" t="s">
        <v>162</v>
      </c>
      <c r="C156" s="46"/>
      <c r="D156" s="46">
        <v>550</v>
      </c>
      <c r="E156" s="46"/>
      <c r="F156" s="46"/>
    </row>
    <row r="157" spans="1:6" s="110" customFormat="1" ht="24.9" customHeight="1">
      <c r="A157" s="108"/>
      <c r="B157" s="48" t="s">
        <v>163</v>
      </c>
      <c r="C157" s="46"/>
      <c r="D157" s="46">
        <v>1500</v>
      </c>
      <c r="E157" s="46"/>
      <c r="F157" s="46"/>
    </row>
    <row r="158" spans="1:6" s="110" customFormat="1" ht="24.9" customHeight="1">
      <c r="A158" s="108"/>
      <c r="B158" s="48" t="s">
        <v>164</v>
      </c>
      <c r="C158" s="46"/>
      <c r="D158" s="46">
        <v>150</v>
      </c>
      <c r="E158" s="46"/>
      <c r="F158" s="46"/>
    </row>
    <row r="159" spans="1:6" s="110" customFormat="1" ht="24.9" customHeight="1">
      <c r="A159" s="108"/>
      <c r="B159" s="48" t="s">
        <v>165</v>
      </c>
      <c r="C159" s="46"/>
      <c r="D159" s="46">
        <v>12500</v>
      </c>
      <c r="E159" s="46"/>
      <c r="F159" s="46"/>
    </row>
    <row r="160" spans="1:6" s="110" customFormat="1" ht="24.9" customHeight="1">
      <c r="A160" s="108"/>
      <c r="B160" s="48" t="s">
        <v>166</v>
      </c>
      <c r="C160" s="46"/>
      <c r="D160" s="46">
        <v>4500</v>
      </c>
      <c r="E160" s="46"/>
      <c r="F160" s="46"/>
    </row>
    <row r="161" spans="1:6" s="110" customFormat="1" ht="24.9" customHeight="1">
      <c r="A161" s="108"/>
      <c r="B161" s="48" t="s">
        <v>167</v>
      </c>
      <c r="C161" s="46"/>
      <c r="D161" s="46">
        <v>200</v>
      </c>
      <c r="E161" s="46"/>
      <c r="F161" s="46"/>
    </row>
    <row r="162" spans="1:6" s="110" customFormat="1" ht="25.2" customHeight="1">
      <c r="A162" s="108"/>
      <c r="B162" s="48" t="s">
        <v>587</v>
      </c>
      <c r="C162" s="46"/>
      <c r="D162" s="46">
        <v>6000</v>
      </c>
      <c r="E162" s="46"/>
      <c r="F162" s="46"/>
    </row>
    <row r="163" spans="1:6" s="110" customFormat="1" ht="25.2" customHeight="1">
      <c r="A163" s="108"/>
      <c r="B163" s="48" t="s">
        <v>682</v>
      </c>
      <c r="C163" s="46"/>
      <c r="D163" s="46">
        <v>500</v>
      </c>
      <c r="E163" s="46"/>
      <c r="F163" s="46"/>
    </row>
    <row r="164" spans="1:6" s="110" customFormat="1" ht="54.75" customHeight="1">
      <c r="A164" s="108"/>
      <c r="B164" s="111" t="s">
        <v>683</v>
      </c>
      <c r="C164" s="46"/>
      <c r="D164" s="46">
        <v>2000</v>
      </c>
      <c r="E164" s="46"/>
      <c r="F164" s="46"/>
    </row>
    <row r="165" spans="1:6" s="110" customFormat="1" ht="24.9" customHeight="1">
      <c r="A165" s="108"/>
      <c r="B165" s="48" t="s">
        <v>588</v>
      </c>
      <c r="C165" s="46"/>
      <c r="D165" s="46">
        <v>2500</v>
      </c>
      <c r="E165" s="46"/>
      <c r="F165" s="46"/>
    </row>
    <row r="166" spans="1:6" s="110" customFormat="1" ht="24.9" customHeight="1">
      <c r="A166" s="108"/>
      <c r="B166" s="48" t="s">
        <v>114</v>
      </c>
      <c r="C166" s="46"/>
      <c r="D166" s="46">
        <v>1500</v>
      </c>
      <c r="E166" s="46"/>
      <c r="F166" s="46"/>
    </row>
    <row r="167" spans="1:6" s="110" customFormat="1" ht="24.9" customHeight="1">
      <c r="A167" s="108"/>
      <c r="B167" s="48" t="s">
        <v>168</v>
      </c>
      <c r="C167" s="46"/>
      <c r="D167" s="46">
        <f>D168+D169</f>
        <v>17500</v>
      </c>
      <c r="E167" s="46"/>
      <c r="F167" s="46"/>
    </row>
    <row r="168" spans="1:6" s="110" customFormat="1" ht="24.9" customHeight="1">
      <c r="A168" s="108"/>
      <c r="B168" s="48" t="s">
        <v>169</v>
      </c>
      <c r="C168" s="46"/>
      <c r="D168" s="46">
        <v>7500</v>
      </c>
      <c r="E168" s="46"/>
      <c r="F168" s="46"/>
    </row>
    <row r="169" spans="1:6" s="110" customFormat="1" ht="24.9" customHeight="1">
      <c r="A169" s="108"/>
      <c r="B169" s="48" t="s">
        <v>170</v>
      </c>
      <c r="C169" s="46"/>
      <c r="D169" s="46">
        <v>10000</v>
      </c>
      <c r="E169" s="46"/>
      <c r="F169" s="46"/>
    </row>
    <row r="170" spans="1:6" s="124" customFormat="1" ht="24.9" customHeight="1">
      <c r="A170" s="119">
        <v>11</v>
      </c>
      <c r="B170" s="107" t="s">
        <v>171</v>
      </c>
      <c r="C170" s="47">
        <f>D170+E170+F170</f>
        <v>56225</v>
      </c>
      <c r="D170" s="47">
        <f>SUM(D171:D173)</f>
        <v>27500</v>
      </c>
      <c r="E170" s="47">
        <f>12600+5505+420</f>
        <v>18525</v>
      </c>
      <c r="F170" s="47">
        <f>8200+2000</f>
        <v>10200</v>
      </c>
    </row>
    <row r="171" spans="1:6" s="110" customFormat="1" ht="53.25" customHeight="1">
      <c r="A171" s="108"/>
      <c r="B171" s="111" t="s">
        <v>694</v>
      </c>
      <c r="C171" s="46"/>
      <c r="D171" s="46">
        <v>22000</v>
      </c>
      <c r="E171" s="46"/>
      <c r="F171" s="46"/>
    </row>
    <row r="172" spans="1:6" s="110" customFormat="1" ht="39" customHeight="1">
      <c r="A172" s="108"/>
      <c r="B172" s="111" t="s">
        <v>172</v>
      </c>
      <c r="C172" s="46"/>
      <c r="D172" s="46">
        <v>1000</v>
      </c>
      <c r="E172" s="46"/>
      <c r="F172" s="46"/>
    </row>
    <row r="173" spans="1:6" s="110" customFormat="1" ht="25.95" customHeight="1">
      <c r="A173" s="108"/>
      <c r="B173" s="48" t="s">
        <v>173</v>
      </c>
      <c r="C173" s="46"/>
      <c r="D173" s="46">
        <v>4500</v>
      </c>
      <c r="E173" s="46"/>
      <c r="F173" s="46"/>
    </row>
    <row r="174" spans="1:6" s="124" customFormat="1" ht="25.95" customHeight="1">
      <c r="A174" s="119">
        <v>12</v>
      </c>
      <c r="B174" s="107" t="s">
        <v>174</v>
      </c>
      <c r="C174" s="47">
        <f>D174+E174+F174</f>
        <v>1593656</v>
      </c>
      <c r="D174" s="47">
        <f>SUM(D175:D202)-D185-D186</f>
        <v>672886</v>
      </c>
      <c r="E174" s="47">
        <f>303955-14744+5000</f>
        <v>294211</v>
      </c>
      <c r="F174" s="47">
        <f>616559+10000</f>
        <v>626559</v>
      </c>
    </row>
    <row r="175" spans="1:6" s="110" customFormat="1" ht="29.25" customHeight="1">
      <c r="A175" s="108"/>
      <c r="B175" s="48" t="s">
        <v>175</v>
      </c>
      <c r="C175" s="46"/>
      <c r="D175" s="46">
        <v>260447</v>
      </c>
      <c r="E175" s="46"/>
      <c r="F175" s="46"/>
    </row>
    <row r="176" spans="1:6" s="110" customFormat="1" ht="28.5" customHeight="1">
      <c r="A176" s="108"/>
      <c r="B176" s="48" t="s">
        <v>176</v>
      </c>
      <c r="C176" s="46"/>
      <c r="D176" s="46">
        <v>20000</v>
      </c>
      <c r="E176" s="46"/>
      <c r="F176" s="46"/>
    </row>
    <row r="177" spans="1:6" s="110" customFormat="1" ht="40.5" customHeight="1">
      <c r="A177" s="108"/>
      <c r="B177" s="48" t="s">
        <v>1000</v>
      </c>
      <c r="C177" s="46"/>
      <c r="D177" s="46">
        <f>15000+5000</f>
        <v>20000</v>
      </c>
      <c r="E177" s="46"/>
      <c r="F177" s="46"/>
    </row>
    <row r="178" spans="1:6" s="110" customFormat="1" ht="39" customHeight="1">
      <c r="A178" s="108"/>
      <c r="B178" s="111" t="s">
        <v>695</v>
      </c>
      <c r="C178" s="46"/>
      <c r="D178" s="46">
        <v>100000</v>
      </c>
      <c r="E178" s="46"/>
      <c r="F178" s="46"/>
    </row>
    <row r="179" spans="1:6" s="110" customFormat="1" ht="30" customHeight="1">
      <c r="A179" s="108"/>
      <c r="B179" s="48" t="s">
        <v>177</v>
      </c>
      <c r="C179" s="46"/>
      <c r="D179" s="46">
        <v>5000</v>
      </c>
      <c r="E179" s="46"/>
      <c r="F179" s="46"/>
    </row>
    <row r="180" spans="1:6" s="110" customFormat="1" ht="30" customHeight="1">
      <c r="A180" s="108"/>
      <c r="B180" s="48" t="s">
        <v>178</v>
      </c>
      <c r="C180" s="46"/>
      <c r="D180" s="46">
        <v>19618</v>
      </c>
      <c r="E180" s="46"/>
      <c r="F180" s="46"/>
    </row>
    <row r="181" spans="1:6" s="110" customFormat="1" ht="30" customHeight="1">
      <c r="A181" s="108"/>
      <c r="B181" s="48" t="s">
        <v>179</v>
      </c>
      <c r="C181" s="46"/>
      <c r="D181" s="46">
        <v>38213</v>
      </c>
      <c r="E181" s="46"/>
      <c r="F181" s="46"/>
    </row>
    <row r="182" spans="1:6" s="110" customFormat="1" ht="30" customHeight="1">
      <c r="A182" s="108"/>
      <c r="B182" s="48" t="s">
        <v>180</v>
      </c>
      <c r="C182" s="46"/>
      <c r="D182" s="46">
        <v>5000</v>
      </c>
      <c r="E182" s="46"/>
      <c r="F182" s="46"/>
    </row>
    <row r="183" spans="1:6" s="109" customFormat="1" ht="39" customHeight="1">
      <c r="A183" s="127"/>
      <c r="B183" s="111" t="s">
        <v>181</v>
      </c>
      <c r="C183" s="48"/>
      <c r="D183" s="48">
        <v>2640</v>
      </c>
      <c r="E183" s="48"/>
      <c r="F183" s="48"/>
    </row>
    <row r="184" spans="1:6" s="110" customFormat="1" ht="30" customHeight="1">
      <c r="A184" s="108"/>
      <c r="B184" s="48" t="s">
        <v>182</v>
      </c>
      <c r="C184" s="46"/>
      <c r="D184" s="46">
        <v>700</v>
      </c>
      <c r="E184" s="46"/>
      <c r="F184" s="46"/>
    </row>
    <row r="185" spans="1:6" s="123" customFormat="1" ht="30" customHeight="1">
      <c r="A185" s="122"/>
      <c r="B185" s="115" t="s">
        <v>183</v>
      </c>
      <c r="C185" s="105"/>
      <c r="D185" s="105">
        <v>400</v>
      </c>
      <c r="E185" s="105"/>
      <c r="F185" s="105"/>
    </row>
    <row r="186" spans="1:6" s="123" customFormat="1" ht="30" customHeight="1">
      <c r="A186" s="122"/>
      <c r="B186" s="115" t="s">
        <v>184</v>
      </c>
      <c r="C186" s="105"/>
      <c r="D186" s="105">
        <v>300</v>
      </c>
      <c r="E186" s="105"/>
      <c r="F186" s="105"/>
    </row>
    <row r="187" spans="1:6" s="110" customFormat="1" ht="30" customHeight="1">
      <c r="A187" s="108"/>
      <c r="B187" s="48" t="s">
        <v>185</v>
      </c>
      <c r="C187" s="46"/>
      <c r="D187" s="46">
        <v>800</v>
      </c>
      <c r="E187" s="46"/>
      <c r="F187" s="46"/>
    </row>
    <row r="188" spans="1:6" s="110" customFormat="1" ht="30" customHeight="1">
      <c r="A188" s="108"/>
      <c r="B188" s="48" t="s">
        <v>186</v>
      </c>
      <c r="C188" s="46"/>
      <c r="D188" s="46">
        <v>350</v>
      </c>
      <c r="E188" s="46"/>
      <c r="F188" s="46"/>
    </row>
    <row r="189" spans="1:6" s="133" customFormat="1" ht="30" customHeight="1">
      <c r="A189" s="108"/>
      <c r="B189" s="48" t="s">
        <v>187</v>
      </c>
      <c r="C189" s="46"/>
      <c r="D189" s="46">
        <v>3000</v>
      </c>
      <c r="E189" s="46"/>
      <c r="F189" s="46"/>
    </row>
    <row r="190" spans="1:6" s="110" customFormat="1" ht="30" customHeight="1">
      <c r="A190" s="108"/>
      <c r="B190" s="48" t="s">
        <v>589</v>
      </c>
      <c r="C190" s="46"/>
      <c r="D190" s="46">
        <v>50000</v>
      </c>
      <c r="E190" s="46"/>
      <c r="F190" s="46"/>
    </row>
    <row r="191" spans="1:6" s="110" customFormat="1" ht="30" customHeight="1">
      <c r="A191" s="108"/>
      <c r="B191" s="48" t="s">
        <v>591</v>
      </c>
      <c r="C191" s="46"/>
      <c r="D191" s="46">
        <v>6000</v>
      </c>
      <c r="E191" s="46"/>
      <c r="F191" s="46"/>
    </row>
    <row r="192" spans="1:6" s="110" customFormat="1" ht="30" customHeight="1">
      <c r="A192" s="108"/>
      <c r="B192" s="48" t="s">
        <v>590</v>
      </c>
      <c r="C192" s="46"/>
      <c r="D192" s="46">
        <v>10000</v>
      </c>
      <c r="E192" s="46"/>
      <c r="F192" s="46"/>
    </row>
    <row r="193" spans="1:6" s="110" customFormat="1" ht="30" customHeight="1">
      <c r="A193" s="108"/>
      <c r="B193" s="48" t="s">
        <v>188</v>
      </c>
      <c r="C193" s="46"/>
      <c r="D193" s="46">
        <v>15000</v>
      </c>
      <c r="E193" s="46"/>
      <c r="F193" s="46"/>
    </row>
    <row r="194" spans="1:6" s="110" customFormat="1" ht="30" customHeight="1">
      <c r="A194" s="108"/>
      <c r="B194" s="48" t="s">
        <v>189</v>
      </c>
      <c r="C194" s="46"/>
      <c r="D194" s="46">
        <v>6000</v>
      </c>
      <c r="E194" s="46"/>
      <c r="F194" s="46"/>
    </row>
    <row r="195" spans="1:6" s="110" customFormat="1" ht="30" customHeight="1">
      <c r="A195" s="108"/>
      <c r="B195" s="48" t="s">
        <v>592</v>
      </c>
      <c r="C195" s="46"/>
      <c r="D195" s="46">
        <v>2000</v>
      </c>
      <c r="E195" s="46"/>
      <c r="F195" s="46"/>
    </row>
    <row r="196" spans="1:6" s="110" customFormat="1" ht="30" customHeight="1">
      <c r="A196" s="108"/>
      <c r="B196" s="48" t="s">
        <v>685</v>
      </c>
      <c r="C196" s="46"/>
      <c r="D196" s="46">
        <f>29762-900</f>
        <v>28862</v>
      </c>
      <c r="E196" s="46"/>
      <c r="F196" s="46"/>
    </row>
    <row r="197" spans="1:6" s="110" customFormat="1" ht="30" customHeight="1">
      <c r="A197" s="108"/>
      <c r="B197" s="48" t="s">
        <v>190</v>
      </c>
      <c r="C197" s="46"/>
      <c r="D197" s="46">
        <v>6416</v>
      </c>
      <c r="E197" s="46"/>
      <c r="F197" s="46"/>
    </row>
    <row r="198" spans="1:6" s="110" customFormat="1" ht="30" customHeight="1">
      <c r="A198" s="108"/>
      <c r="B198" s="48" t="s">
        <v>191</v>
      </c>
      <c r="C198" s="46"/>
      <c r="D198" s="46">
        <v>3000</v>
      </c>
      <c r="E198" s="46"/>
      <c r="F198" s="46"/>
    </row>
    <row r="199" spans="1:6" s="110" customFormat="1" ht="30" customHeight="1">
      <c r="A199" s="108"/>
      <c r="B199" s="48" t="s">
        <v>192</v>
      </c>
      <c r="C199" s="46"/>
      <c r="D199" s="46">
        <v>1000</v>
      </c>
      <c r="E199" s="46"/>
      <c r="F199" s="46"/>
    </row>
    <row r="200" spans="1:6" s="110" customFormat="1" ht="30" customHeight="1">
      <c r="A200" s="108"/>
      <c r="B200" s="48" t="s">
        <v>193</v>
      </c>
      <c r="C200" s="46"/>
      <c r="D200" s="46">
        <v>28500</v>
      </c>
      <c r="E200" s="46"/>
      <c r="F200" s="46"/>
    </row>
    <row r="201" spans="1:6" s="110" customFormat="1" ht="30" customHeight="1">
      <c r="A201" s="108"/>
      <c r="B201" s="48" t="s">
        <v>194</v>
      </c>
      <c r="C201" s="46"/>
      <c r="D201" s="46">
        <v>40040</v>
      </c>
      <c r="E201" s="46"/>
      <c r="F201" s="46"/>
    </row>
    <row r="202" spans="1:6" s="110" customFormat="1" ht="30" customHeight="1">
      <c r="A202" s="108"/>
      <c r="B202" s="48" t="s">
        <v>684</v>
      </c>
      <c r="C202" s="46"/>
      <c r="D202" s="46">
        <v>300</v>
      </c>
      <c r="E202" s="46"/>
      <c r="F202" s="46"/>
    </row>
    <row r="203" spans="1:6" s="124" customFormat="1" ht="30" customHeight="1">
      <c r="A203" s="119">
        <v>13</v>
      </c>
      <c r="B203" s="107" t="s">
        <v>693</v>
      </c>
      <c r="C203" s="47">
        <f>D203+E203+F203</f>
        <v>56818</v>
      </c>
      <c r="D203" s="47">
        <f>56478+340</f>
        <v>56818</v>
      </c>
      <c r="E203" s="47"/>
      <c r="F203" s="47"/>
    </row>
    <row r="204" spans="1:6" s="124" customFormat="1" ht="30" customHeight="1">
      <c r="A204" s="119">
        <v>14</v>
      </c>
      <c r="B204" s="107" t="s">
        <v>195</v>
      </c>
      <c r="C204" s="47">
        <f t="shared" ref="C204:C212" si="2">D204+E204+F204</f>
        <v>20000</v>
      </c>
      <c r="D204" s="47">
        <v>20000</v>
      </c>
      <c r="E204" s="47"/>
      <c r="F204" s="47"/>
    </row>
    <row r="205" spans="1:6" s="124" customFormat="1" ht="30" customHeight="1">
      <c r="A205" s="119">
        <v>15</v>
      </c>
      <c r="B205" s="107" t="s">
        <v>196</v>
      </c>
      <c r="C205" s="47">
        <f t="shared" si="2"/>
        <v>40000</v>
      </c>
      <c r="D205" s="47">
        <v>40000</v>
      </c>
      <c r="E205" s="47"/>
      <c r="F205" s="47"/>
    </row>
    <row r="206" spans="1:6" s="124" customFormat="1" ht="30" customHeight="1">
      <c r="A206" s="119">
        <v>16</v>
      </c>
      <c r="B206" s="107" t="s">
        <v>197</v>
      </c>
      <c r="C206" s="47">
        <f t="shared" si="2"/>
        <v>1500</v>
      </c>
      <c r="D206" s="47">
        <v>1500</v>
      </c>
      <c r="E206" s="47"/>
      <c r="F206" s="47"/>
    </row>
    <row r="207" spans="1:6" s="124" customFormat="1" ht="30" customHeight="1">
      <c r="A207" s="119">
        <v>17</v>
      </c>
      <c r="B207" s="107" t="s">
        <v>198</v>
      </c>
      <c r="C207" s="47">
        <f t="shared" si="2"/>
        <v>1200</v>
      </c>
      <c r="D207" s="47">
        <v>1200</v>
      </c>
      <c r="E207" s="47"/>
      <c r="F207" s="47"/>
    </row>
    <row r="208" spans="1:6" s="124" customFormat="1" ht="30" customHeight="1">
      <c r="A208" s="119">
        <v>18</v>
      </c>
      <c r="B208" s="107" t="s">
        <v>199</v>
      </c>
      <c r="C208" s="47">
        <f t="shared" si="2"/>
        <v>20000</v>
      </c>
      <c r="D208" s="47">
        <v>20000</v>
      </c>
      <c r="E208" s="47"/>
      <c r="F208" s="47"/>
    </row>
    <row r="209" spans="1:6" s="124" customFormat="1" ht="30" customHeight="1">
      <c r="A209" s="119">
        <v>19</v>
      </c>
      <c r="B209" s="107" t="s">
        <v>200</v>
      </c>
      <c r="C209" s="47">
        <f t="shared" si="2"/>
        <v>170972</v>
      </c>
      <c r="D209" s="47">
        <v>20000</v>
      </c>
      <c r="E209" s="47">
        <f>21515+120128</f>
        <v>141643</v>
      </c>
      <c r="F209" s="47">
        <f>10178-3349+2500</f>
        <v>9329</v>
      </c>
    </row>
    <row r="210" spans="1:6" s="124" customFormat="1" ht="30" customHeight="1">
      <c r="A210" s="119">
        <v>20</v>
      </c>
      <c r="B210" s="107" t="s">
        <v>593</v>
      </c>
      <c r="C210" s="47">
        <f t="shared" si="2"/>
        <v>14300</v>
      </c>
      <c r="D210" s="47">
        <v>14300</v>
      </c>
      <c r="E210" s="47"/>
      <c r="F210" s="47"/>
    </row>
    <row r="211" spans="1:6" s="124" customFormat="1" ht="30" customHeight="1">
      <c r="A211" s="119">
        <v>21</v>
      </c>
      <c r="B211" s="107" t="s">
        <v>201</v>
      </c>
      <c r="C211" s="47">
        <f t="shared" si="2"/>
        <v>23000</v>
      </c>
      <c r="D211" s="47">
        <v>23000</v>
      </c>
      <c r="E211" s="47"/>
      <c r="F211" s="47"/>
    </row>
    <row r="212" spans="1:6" s="124" customFormat="1" ht="30" customHeight="1">
      <c r="A212" s="119">
        <v>22</v>
      </c>
      <c r="B212" s="107" t="s">
        <v>712</v>
      </c>
      <c r="C212" s="47">
        <f t="shared" si="2"/>
        <v>75270</v>
      </c>
      <c r="D212" s="47">
        <f>45450-1222+5850</f>
        <v>50078</v>
      </c>
      <c r="E212" s="47">
        <v>25192</v>
      </c>
      <c r="F212" s="47"/>
    </row>
    <row r="213" spans="1:6" s="110" customFormat="1" ht="30" customHeight="1">
      <c r="A213" s="108"/>
      <c r="B213" s="48" t="s">
        <v>202</v>
      </c>
      <c r="C213" s="46"/>
      <c r="D213" s="46">
        <v>13500</v>
      </c>
      <c r="E213" s="46"/>
      <c r="F213" s="46"/>
    </row>
    <row r="214" spans="1:6" s="110" customFormat="1" ht="26.4" customHeight="1">
      <c r="A214" s="108"/>
      <c r="B214" s="48" t="s">
        <v>203</v>
      </c>
      <c r="C214" s="46"/>
      <c r="D214" s="46"/>
      <c r="E214" s="46">
        <v>25912</v>
      </c>
      <c r="F214" s="46"/>
    </row>
    <row r="215" spans="1:6" s="110" customFormat="1" ht="30" customHeight="1">
      <c r="A215" s="108"/>
      <c r="B215" s="48" t="s">
        <v>613</v>
      </c>
      <c r="C215" s="46"/>
      <c r="D215" s="46">
        <v>12310</v>
      </c>
      <c r="E215" s="46"/>
      <c r="F215" s="46"/>
    </row>
    <row r="216" spans="1:6" s="110" customFormat="1" ht="27" customHeight="1">
      <c r="A216" s="108"/>
      <c r="B216" s="48" t="s">
        <v>612</v>
      </c>
      <c r="C216" s="46"/>
      <c r="D216" s="46">
        <v>5850</v>
      </c>
      <c r="E216" s="46"/>
      <c r="F216" s="46"/>
    </row>
    <row r="217" spans="1:6" s="110" customFormat="1" ht="25.2" customHeight="1">
      <c r="A217" s="108"/>
      <c r="B217" s="48" t="s">
        <v>204</v>
      </c>
      <c r="C217" s="46"/>
      <c r="D217" s="46">
        <f>D212-D213-D215-D216</f>
        <v>18418</v>
      </c>
      <c r="E217" s="46"/>
      <c r="F217" s="46"/>
    </row>
    <row r="218" spans="1:6" s="124" customFormat="1" ht="24" customHeight="1">
      <c r="A218" s="119">
        <v>24</v>
      </c>
      <c r="B218" s="107" t="s">
        <v>205</v>
      </c>
      <c r="C218" s="47">
        <v>48900</v>
      </c>
      <c r="D218" s="47">
        <v>48900</v>
      </c>
      <c r="E218" s="47"/>
      <c r="F218" s="47"/>
    </row>
    <row r="219" spans="1:6" s="124" customFormat="1" ht="24.9" customHeight="1">
      <c r="A219" s="119" t="s">
        <v>206</v>
      </c>
      <c r="B219" s="107" t="s">
        <v>207</v>
      </c>
      <c r="C219" s="47">
        <f>D219</f>
        <v>1592000</v>
      </c>
      <c r="D219" s="47">
        <f>D220+D245+D252+D262+D268+D271+D275+D283+D290+D293</f>
        <v>1592000</v>
      </c>
      <c r="E219" s="47"/>
      <c r="F219" s="47"/>
    </row>
    <row r="220" spans="1:6" s="124" customFormat="1" ht="24.9" customHeight="1">
      <c r="A220" s="119">
        <v>1</v>
      </c>
      <c r="B220" s="107" t="s">
        <v>208</v>
      </c>
      <c r="C220" s="47"/>
      <c r="D220" s="47">
        <f>SUM(D221:D244)-D232</f>
        <v>671500</v>
      </c>
      <c r="E220" s="47"/>
      <c r="F220" s="47"/>
    </row>
    <row r="221" spans="1:6" s="110" customFormat="1" ht="24.9" customHeight="1">
      <c r="A221" s="108"/>
      <c r="B221" s="48" t="s">
        <v>209</v>
      </c>
      <c r="C221" s="46"/>
      <c r="D221" s="112">
        <v>10000</v>
      </c>
      <c r="E221" s="46"/>
      <c r="F221" s="46"/>
    </row>
    <row r="222" spans="1:6" s="110" customFormat="1" ht="24.9" customHeight="1">
      <c r="A222" s="108"/>
      <c r="B222" s="48" t="s">
        <v>210</v>
      </c>
      <c r="C222" s="46"/>
      <c r="D222" s="112">
        <v>5000</v>
      </c>
      <c r="E222" s="46"/>
      <c r="F222" s="46"/>
    </row>
    <row r="223" spans="1:6" s="110" customFormat="1" ht="24.9" customHeight="1">
      <c r="A223" s="108"/>
      <c r="B223" s="48" t="s">
        <v>211</v>
      </c>
      <c r="C223" s="46"/>
      <c r="D223" s="112">
        <v>30000</v>
      </c>
      <c r="E223" s="46"/>
      <c r="F223" s="46"/>
    </row>
    <row r="224" spans="1:6" s="110" customFormat="1" ht="24.9" customHeight="1">
      <c r="A224" s="108"/>
      <c r="B224" s="48" t="s">
        <v>212</v>
      </c>
      <c r="C224" s="46"/>
      <c r="D224" s="112">
        <v>2000</v>
      </c>
      <c r="E224" s="46"/>
      <c r="F224" s="46"/>
    </row>
    <row r="225" spans="1:6" s="110" customFormat="1" ht="24.9" customHeight="1">
      <c r="A225" s="108"/>
      <c r="B225" s="48" t="s">
        <v>213</v>
      </c>
      <c r="C225" s="46"/>
      <c r="D225" s="112">
        <v>30000</v>
      </c>
      <c r="E225" s="46"/>
      <c r="F225" s="46"/>
    </row>
    <row r="226" spans="1:6" s="110" customFormat="1" ht="24.9" customHeight="1">
      <c r="A226" s="108"/>
      <c r="B226" s="48" t="s">
        <v>214</v>
      </c>
      <c r="C226" s="46"/>
      <c r="D226" s="112">
        <f>20000+5000</f>
        <v>25000</v>
      </c>
      <c r="E226" s="46"/>
      <c r="F226" s="46"/>
    </row>
    <row r="227" spans="1:6" s="110" customFormat="1" ht="24.9" customHeight="1">
      <c r="A227" s="108"/>
      <c r="B227" s="48" t="s">
        <v>215</v>
      </c>
      <c r="C227" s="46"/>
      <c r="D227" s="112">
        <v>10000</v>
      </c>
      <c r="E227" s="46"/>
      <c r="F227" s="46"/>
    </row>
    <row r="228" spans="1:6" s="110" customFormat="1" ht="24.9" customHeight="1">
      <c r="A228" s="108"/>
      <c r="B228" s="48" t="s">
        <v>216</v>
      </c>
      <c r="C228" s="46"/>
      <c r="D228" s="112">
        <v>250000</v>
      </c>
      <c r="E228" s="46"/>
      <c r="F228" s="46"/>
    </row>
    <row r="229" spans="1:6" s="109" customFormat="1" ht="51.75" customHeight="1">
      <c r="A229" s="127"/>
      <c r="B229" s="48" t="s">
        <v>718</v>
      </c>
      <c r="C229" s="48"/>
      <c r="D229" s="112">
        <v>125000</v>
      </c>
      <c r="E229" s="48"/>
      <c r="F229" s="48"/>
    </row>
    <row r="230" spans="1:6" s="110" customFormat="1" ht="24.9" customHeight="1">
      <c r="A230" s="128"/>
      <c r="B230" s="48" t="s">
        <v>631</v>
      </c>
      <c r="C230" s="46"/>
      <c r="D230" s="112">
        <v>45000</v>
      </c>
      <c r="E230" s="46"/>
      <c r="F230" s="46"/>
    </row>
    <row r="231" spans="1:6" s="132" customFormat="1" ht="36.75" customHeight="1">
      <c r="A231" s="134"/>
      <c r="B231" s="48" t="s">
        <v>721</v>
      </c>
      <c r="C231" s="48"/>
      <c r="D231" s="112">
        <v>20000</v>
      </c>
      <c r="E231" s="48"/>
      <c r="F231" s="48"/>
    </row>
    <row r="232" spans="1:6" s="133" customFormat="1" ht="24.9" customHeight="1">
      <c r="A232" s="128"/>
      <c r="B232" s="48" t="s">
        <v>217</v>
      </c>
      <c r="C232" s="46"/>
      <c r="D232" s="112">
        <f>SUM(D233:D236)</f>
        <v>39500</v>
      </c>
      <c r="E232" s="46"/>
      <c r="F232" s="46"/>
    </row>
    <row r="233" spans="1:6" s="136" customFormat="1" ht="24.9" customHeight="1">
      <c r="A233" s="135"/>
      <c r="B233" s="115" t="s">
        <v>218</v>
      </c>
      <c r="C233" s="105"/>
      <c r="D233" s="113">
        <v>20500</v>
      </c>
      <c r="E233" s="105"/>
      <c r="F233" s="105"/>
    </row>
    <row r="234" spans="1:6" s="136" customFormat="1" ht="24.9" customHeight="1">
      <c r="A234" s="135"/>
      <c r="B234" s="115" t="s">
        <v>219</v>
      </c>
      <c r="C234" s="105"/>
      <c r="D234" s="113">
        <v>8000</v>
      </c>
      <c r="E234" s="105"/>
      <c r="F234" s="105"/>
    </row>
    <row r="235" spans="1:6" s="136" customFormat="1" ht="24.9" customHeight="1">
      <c r="A235" s="135"/>
      <c r="B235" s="115" t="s">
        <v>632</v>
      </c>
      <c r="C235" s="105"/>
      <c r="D235" s="113">
        <v>8000</v>
      </c>
      <c r="E235" s="105"/>
      <c r="F235" s="105"/>
    </row>
    <row r="236" spans="1:6" s="136" customFormat="1" ht="24.9" customHeight="1">
      <c r="A236" s="135"/>
      <c r="B236" s="115" t="s">
        <v>220</v>
      </c>
      <c r="C236" s="105"/>
      <c r="D236" s="113">
        <v>3000</v>
      </c>
      <c r="E236" s="105"/>
      <c r="F236" s="105"/>
    </row>
    <row r="237" spans="1:6" s="136" customFormat="1" ht="24.9" customHeight="1">
      <c r="A237" s="135"/>
      <c r="B237" s="48" t="s">
        <v>221</v>
      </c>
      <c r="C237" s="46"/>
      <c r="D237" s="112">
        <v>5000</v>
      </c>
      <c r="E237" s="46"/>
      <c r="F237" s="46"/>
    </row>
    <row r="238" spans="1:6" s="136" customFormat="1" ht="24.9" customHeight="1">
      <c r="A238" s="135"/>
      <c r="B238" s="48" t="s">
        <v>222</v>
      </c>
      <c r="C238" s="46"/>
      <c r="D238" s="112">
        <v>7000</v>
      </c>
      <c r="E238" s="46"/>
      <c r="F238" s="46"/>
    </row>
    <row r="239" spans="1:6" s="136" customFormat="1" ht="24.9" customHeight="1">
      <c r="A239" s="135"/>
      <c r="B239" s="48" t="s">
        <v>963</v>
      </c>
      <c r="C239" s="46"/>
      <c r="D239" s="112">
        <v>2000</v>
      </c>
      <c r="E239" s="46"/>
      <c r="F239" s="46"/>
    </row>
    <row r="240" spans="1:6" s="136" customFormat="1" ht="24.9" customHeight="1">
      <c r="A240" s="135"/>
      <c r="B240" s="48" t="s">
        <v>224</v>
      </c>
      <c r="C240" s="46"/>
      <c r="D240" s="112">
        <v>14000</v>
      </c>
      <c r="E240" s="46"/>
      <c r="F240" s="46"/>
    </row>
    <row r="241" spans="1:6" s="136" customFormat="1" ht="24.9" customHeight="1">
      <c r="A241" s="135"/>
      <c r="B241" s="48" t="s">
        <v>225</v>
      </c>
      <c r="C241" s="46"/>
      <c r="D241" s="112">
        <v>20000</v>
      </c>
      <c r="E241" s="46"/>
      <c r="F241" s="46"/>
    </row>
    <row r="242" spans="1:6" s="136" customFormat="1" ht="24.9" customHeight="1">
      <c r="A242" s="135"/>
      <c r="B242" s="48" t="s">
        <v>226</v>
      </c>
      <c r="C242" s="46"/>
      <c r="D242" s="112">
        <v>20000</v>
      </c>
      <c r="E242" s="46"/>
      <c r="F242" s="46"/>
    </row>
    <row r="243" spans="1:6" s="136" customFormat="1" ht="24.9" customHeight="1">
      <c r="A243" s="135"/>
      <c r="B243" s="48" t="s">
        <v>227</v>
      </c>
      <c r="C243" s="46"/>
      <c r="D243" s="112">
        <v>5000</v>
      </c>
      <c r="E243" s="46"/>
      <c r="F243" s="46"/>
    </row>
    <row r="244" spans="1:6" s="136" customFormat="1" ht="24.9" customHeight="1">
      <c r="A244" s="135"/>
      <c r="B244" s="48" t="s">
        <v>228</v>
      </c>
      <c r="C244" s="46"/>
      <c r="D244" s="112">
        <v>7000</v>
      </c>
      <c r="E244" s="46"/>
      <c r="F244" s="46"/>
    </row>
    <row r="245" spans="1:6" s="124" customFormat="1" ht="24.9" customHeight="1">
      <c r="A245" s="119">
        <v>2</v>
      </c>
      <c r="B245" s="107" t="s">
        <v>229</v>
      </c>
      <c r="C245" s="47"/>
      <c r="D245" s="47">
        <f>D246+D247+D248</f>
        <v>94000</v>
      </c>
      <c r="E245" s="47"/>
      <c r="F245" s="47"/>
    </row>
    <row r="246" spans="1:6" s="110" customFormat="1" ht="40.5" customHeight="1">
      <c r="A246" s="130"/>
      <c r="B246" s="48" t="s">
        <v>633</v>
      </c>
      <c r="C246" s="46"/>
      <c r="D246" s="46">
        <v>50000</v>
      </c>
      <c r="E246" s="46"/>
      <c r="F246" s="46"/>
    </row>
    <row r="247" spans="1:6" s="110" customFormat="1" ht="30.75" customHeight="1">
      <c r="A247" s="130"/>
      <c r="B247" s="48" t="s">
        <v>230</v>
      </c>
      <c r="C247" s="46"/>
      <c r="D247" s="46">
        <v>5000</v>
      </c>
      <c r="E247" s="46"/>
      <c r="F247" s="46"/>
    </row>
    <row r="248" spans="1:6" s="110" customFormat="1" ht="27.75" customHeight="1">
      <c r="A248" s="130"/>
      <c r="B248" s="48" t="s">
        <v>231</v>
      </c>
      <c r="C248" s="46"/>
      <c r="D248" s="46">
        <f>D249+D250+D251</f>
        <v>39000</v>
      </c>
      <c r="E248" s="46"/>
      <c r="F248" s="46"/>
    </row>
    <row r="249" spans="1:6" s="110" customFormat="1" ht="24.9" customHeight="1">
      <c r="A249" s="130"/>
      <c r="B249" s="115" t="s">
        <v>218</v>
      </c>
      <c r="C249" s="105"/>
      <c r="D249" s="105">
        <v>25000</v>
      </c>
      <c r="E249" s="46"/>
      <c r="F249" s="46"/>
    </row>
    <row r="250" spans="1:6" s="110" customFormat="1" ht="24.9" customHeight="1">
      <c r="A250" s="130"/>
      <c r="B250" s="115" t="s">
        <v>219</v>
      </c>
      <c r="C250" s="105"/>
      <c r="D250" s="105">
        <v>7000</v>
      </c>
      <c r="E250" s="46"/>
      <c r="F250" s="46"/>
    </row>
    <row r="251" spans="1:6" s="110" customFormat="1" ht="24.9" customHeight="1">
      <c r="A251" s="130"/>
      <c r="B251" s="115" t="s">
        <v>632</v>
      </c>
      <c r="C251" s="105"/>
      <c r="D251" s="105">
        <v>7000</v>
      </c>
      <c r="E251" s="46"/>
      <c r="F251" s="46"/>
    </row>
    <row r="252" spans="1:6" s="124" customFormat="1" ht="24.9" customHeight="1">
      <c r="A252" s="119">
        <v>3</v>
      </c>
      <c r="B252" s="107" t="s">
        <v>232</v>
      </c>
      <c r="C252" s="47"/>
      <c r="D252" s="47">
        <f>SUM(D253:D261)</f>
        <v>96000</v>
      </c>
      <c r="E252" s="47"/>
      <c r="F252" s="47"/>
    </row>
    <row r="253" spans="1:6" s="110" customFormat="1" ht="24.9" customHeight="1">
      <c r="A253" s="108"/>
      <c r="B253" s="48" t="s">
        <v>233</v>
      </c>
      <c r="C253" s="46"/>
      <c r="D253" s="112">
        <f>10000+10000</f>
        <v>20000</v>
      </c>
      <c r="E253" s="46"/>
      <c r="F253" s="46"/>
    </row>
    <row r="254" spans="1:6" s="110" customFormat="1" ht="24.9" customHeight="1">
      <c r="A254" s="108"/>
      <c r="B254" s="48" t="s">
        <v>234</v>
      </c>
      <c r="C254" s="46"/>
      <c r="D254" s="112">
        <v>5000</v>
      </c>
      <c r="E254" s="46"/>
      <c r="F254" s="46"/>
    </row>
    <row r="255" spans="1:6" s="110" customFormat="1" ht="24.9" customHeight="1">
      <c r="A255" s="108"/>
      <c r="B255" s="48" t="s">
        <v>726</v>
      </c>
      <c r="C255" s="46"/>
      <c r="D255" s="112">
        <v>3000</v>
      </c>
      <c r="E255" s="46"/>
      <c r="F255" s="46"/>
    </row>
    <row r="256" spans="1:6" s="110" customFormat="1" ht="24.9" customHeight="1">
      <c r="A256" s="108"/>
      <c r="B256" s="48" t="s">
        <v>715</v>
      </c>
      <c r="C256" s="46"/>
      <c r="D256" s="112">
        <v>3000</v>
      </c>
      <c r="E256" s="46"/>
      <c r="F256" s="46"/>
    </row>
    <row r="257" spans="1:6" s="110" customFormat="1" ht="24.9" customHeight="1">
      <c r="A257" s="108"/>
      <c r="B257" s="111" t="s">
        <v>235</v>
      </c>
      <c r="C257" s="46"/>
      <c r="D257" s="112">
        <v>15000</v>
      </c>
      <c r="E257" s="46"/>
      <c r="F257" s="46"/>
    </row>
    <row r="258" spans="1:6" s="110" customFormat="1" ht="39" customHeight="1">
      <c r="A258" s="108"/>
      <c r="B258" s="111" t="s">
        <v>236</v>
      </c>
      <c r="C258" s="46"/>
      <c r="D258" s="112">
        <v>25000</v>
      </c>
      <c r="E258" s="46"/>
      <c r="F258" s="46"/>
    </row>
    <row r="259" spans="1:6" s="110" customFormat="1" ht="27" customHeight="1">
      <c r="A259" s="108"/>
      <c r="B259" s="111" t="s">
        <v>966</v>
      </c>
      <c r="C259" s="46"/>
      <c r="D259" s="112">
        <f>10000+2000</f>
        <v>12000</v>
      </c>
      <c r="E259" s="46"/>
      <c r="F259" s="46"/>
    </row>
    <row r="260" spans="1:6" s="110" customFormat="1" ht="26.25" customHeight="1">
      <c r="A260" s="108"/>
      <c r="B260" s="48" t="s">
        <v>237</v>
      </c>
      <c r="C260" s="46"/>
      <c r="D260" s="112">
        <v>10000</v>
      </c>
      <c r="E260" s="46"/>
      <c r="F260" s="46"/>
    </row>
    <row r="261" spans="1:6" s="110" customFormat="1" ht="24.9" customHeight="1">
      <c r="A261" s="108"/>
      <c r="B261" s="48" t="s">
        <v>238</v>
      </c>
      <c r="C261" s="46"/>
      <c r="D261" s="46">
        <v>3000</v>
      </c>
      <c r="E261" s="46"/>
      <c r="F261" s="46"/>
    </row>
    <row r="262" spans="1:6" s="124" customFormat="1" ht="24.9" customHeight="1">
      <c r="A262" s="119">
        <v>4</v>
      </c>
      <c r="B262" s="107" t="s">
        <v>239</v>
      </c>
      <c r="C262" s="47"/>
      <c r="D262" s="47">
        <f>SUM(D263:D267)</f>
        <v>54500</v>
      </c>
      <c r="E262" s="47"/>
      <c r="F262" s="47"/>
    </row>
    <row r="263" spans="1:6" s="109" customFormat="1" ht="38.25" customHeight="1">
      <c r="A263" s="127"/>
      <c r="B263" s="48" t="s">
        <v>716</v>
      </c>
      <c r="C263" s="48"/>
      <c r="D263" s="112">
        <v>35000</v>
      </c>
      <c r="E263" s="48"/>
      <c r="F263" s="48"/>
    </row>
    <row r="264" spans="1:6" s="109" customFormat="1" ht="19.95" customHeight="1">
      <c r="A264" s="127"/>
      <c r="B264" s="48" t="s">
        <v>634</v>
      </c>
      <c r="C264" s="48"/>
      <c r="D264" s="112">
        <v>3000</v>
      </c>
      <c r="E264" s="48"/>
      <c r="F264" s="48"/>
    </row>
    <row r="265" spans="1:6" s="110" customFormat="1" ht="24.9" customHeight="1">
      <c r="A265" s="108"/>
      <c r="B265" s="48" t="s">
        <v>240</v>
      </c>
      <c r="C265" s="46"/>
      <c r="D265" s="112">
        <v>3500</v>
      </c>
      <c r="E265" s="46"/>
      <c r="F265" s="46"/>
    </row>
    <row r="266" spans="1:6" s="110" customFormat="1" ht="24.9" customHeight="1">
      <c r="A266" s="108" t="s">
        <v>241</v>
      </c>
      <c r="B266" s="48" t="s">
        <v>242</v>
      </c>
      <c r="C266" s="46"/>
      <c r="D266" s="112">
        <v>3000</v>
      </c>
      <c r="E266" s="46"/>
      <c r="F266" s="46"/>
    </row>
    <row r="267" spans="1:6" s="110" customFormat="1" ht="24.9" customHeight="1">
      <c r="A267" s="108"/>
      <c r="B267" s="48" t="s">
        <v>243</v>
      </c>
      <c r="C267" s="46"/>
      <c r="D267" s="112">
        <v>10000</v>
      </c>
      <c r="E267" s="46"/>
      <c r="F267" s="46"/>
    </row>
    <row r="268" spans="1:6" s="124" customFormat="1" ht="24.9" customHeight="1">
      <c r="A268" s="119">
        <v>5</v>
      </c>
      <c r="B268" s="107" t="s">
        <v>244</v>
      </c>
      <c r="C268" s="47"/>
      <c r="D268" s="47">
        <f>SUM(D269:D270)</f>
        <v>14000</v>
      </c>
      <c r="E268" s="47"/>
      <c r="F268" s="47"/>
    </row>
    <row r="269" spans="1:6" s="110" customFormat="1" ht="24.9" customHeight="1">
      <c r="A269" s="108"/>
      <c r="B269" s="48" t="s">
        <v>245</v>
      </c>
      <c r="C269" s="46"/>
      <c r="D269" s="46">
        <v>12000</v>
      </c>
      <c r="E269" s="46"/>
      <c r="F269" s="46"/>
    </row>
    <row r="270" spans="1:6" s="110" customFormat="1" ht="24.9" customHeight="1">
      <c r="A270" s="108"/>
      <c r="B270" s="48" t="s">
        <v>246</v>
      </c>
      <c r="C270" s="46"/>
      <c r="D270" s="46">
        <v>2000</v>
      </c>
      <c r="E270" s="46"/>
      <c r="F270" s="46"/>
    </row>
    <row r="271" spans="1:6" s="124" customFormat="1" ht="24.9" customHeight="1">
      <c r="A271" s="119">
        <v>6</v>
      </c>
      <c r="B271" s="107" t="s">
        <v>1001</v>
      </c>
      <c r="C271" s="47"/>
      <c r="D271" s="47">
        <f>SUM(D272:D274)</f>
        <v>24000</v>
      </c>
      <c r="E271" s="47"/>
      <c r="F271" s="47"/>
    </row>
    <row r="272" spans="1:6" s="110" customFormat="1" ht="52.5" customHeight="1">
      <c r="A272" s="108"/>
      <c r="B272" s="48" t="s">
        <v>722</v>
      </c>
      <c r="C272" s="46"/>
      <c r="D272" s="46">
        <v>10000</v>
      </c>
      <c r="E272" s="46"/>
      <c r="F272" s="46"/>
    </row>
    <row r="273" spans="1:6" s="110" customFormat="1" ht="24.9" customHeight="1">
      <c r="A273" s="108"/>
      <c r="B273" s="48" t="s">
        <v>247</v>
      </c>
      <c r="C273" s="46"/>
      <c r="D273" s="46">
        <v>7000</v>
      </c>
      <c r="E273" s="46"/>
      <c r="F273" s="46"/>
    </row>
    <row r="274" spans="1:6" s="110" customFormat="1" ht="39" customHeight="1">
      <c r="A274" s="108"/>
      <c r="B274" s="137" t="s">
        <v>720</v>
      </c>
      <c r="C274" s="46"/>
      <c r="D274" s="46">
        <v>7000</v>
      </c>
      <c r="E274" s="46"/>
      <c r="F274" s="46"/>
    </row>
    <row r="275" spans="1:6" s="124" customFormat="1" ht="24.9" customHeight="1">
      <c r="A275" s="119">
        <v>7</v>
      </c>
      <c r="B275" s="107" t="s">
        <v>248</v>
      </c>
      <c r="C275" s="47"/>
      <c r="D275" s="47">
        <f>SUM(D276:D282)</f>
        <v>45000</v>
      </c>
      <c r="E275" s="47"/>
      <c r="F275" s="47"/>
    </row>
    <row r="276" spans="1:6" s="110" customFormat="1" ht="24.9" customHeight="1">
      <c r="A276" s="108"/>
      <c r="B276" s="48" t="s">
        <v>249</v>
      </c>
      <c r="C276" s="46"/>
      <c r="D276" s="112">
        <v>5000</v>
      </c>
      <c r="E276" s="46"/>
      <c r="F276" s="46"/>
    </row>
    <row r="277" spans="1:6" s="110" customFormat="1" ht="24.9" customHeight="1">
      <c r="A277" s="108"/>
      <c r="B277" s="48" t="s">
        <v>594</v>
      </c>
      <c r="C277" s="46"/>
      <c r="D277" s="112">
        <v>2000</v>
      </c>
      <c r="E277" s="46"/>
      <c r="F277" s="46"/>
    </row>
    <row r="278" spans="1:6" s="110" customFormat="1" ht="24.9" customHeight="1">
      <c r="A278" s="108"/>
      <c r="B278" s="48" t="s">
        <v>635</v>
      </c>
      <c r="C278" s="46"/>
      <c r="D278" s="112">
        <v>2000</v>
      </c>
      <c r="E278" s="46"/>
      <c r="F278" s="46"/>
    </row>
    <row r="279" spans="1:6" s="110" customFormat="1" ht="24.9" customHeight="1">
      <c r="A279" s="108"/>
      <c r="B279" s="48" t="s">
        <v>250</v>
      </c>
      <c r="C279" s="46"/>
      <c r="D279" s="112">
        <v>10000</v>
      </c>
      <c r="E279" s="46"/>
      <c r="F279" s="46"/>
    </row>
    <row r="280" spans="1:6" s="110" customFormat="1" ht="24.9" customHeight="1">
      <c r="A280" s="108"/>
      <c r="B280" s="48" t="s">
        <v>251</v>
      </c>
      <c r="C280" s="46"/>
      <c r="D280" s="112">
        <f>7000+3000</f>
        <v>10000</v>
      </c>
      <c r="E280" s="46"/>
      <c r="F280" s="46"/>
    </row>
    <row r="281" spans="1:6" s="110" customFormat="1" ht="24.9" customHeight="1">
      <c r="A281" s="108"/>
      <c r="B281" s="48" t="s">
        <v>252</v>
      </c>
      <c r="C281" s="46"/>
      <c r="D281" s="112">
        <v>13000</v>
      </c>
      <c r="E281" s="46"/>
      <c r="F281" s="46"/>
    </row>
    <row r="282" spans="1:6" s="109" customFormat="1" ht="39" customHeight="1">
      <c r="A282" s="127"/>
      <c r="B282" s="111" t="s">
        <v>253</v>
      </c>
      <c r="C282" s="48"/>
      <c r="D282" s="112">
        <v>3000</v>
      </c>
      <c r="E282" s="48"/>
      <c r="F282" s="48"/>
    </row>
    <row r="283" spans="1:6" s="124" customFormat="1" ht="24.9" customHeight="1">
      <c r="A283" s="119">
        <v>8</v>
      </c>
      <c r="B283" s="107" t="s">
        <v>254</v>
      </c>
      <c r="C283" s="47"/>
      <c r="D283" s="47">
        <f>SUM(D284:D289)</f>
        <v>154000</v>
      </c>
      <c r="E283" s="47"/>
      <c r="F283" s="47"/>
    </row>
    <row r="284" spans="1:6" s="110" customFormat="1" ht="24.9" customHeight="1">
      <c r="A284" s="108"/>
      <c r="B284" s="48" t="s">
        <v>255</v>
      </c>
      <c r="C284" s="46"/>
      <c r="D284" s="46">
        <v>20000</v>
      </c>
      <c r="E284" s="46"/>
      <c r="F284" s="46"/>
    </row>
    <row r="285" spans="1:6" s="110" customFormat="1" ht="24.9" customHeight="1">
      <c r="A285" s="108"/>
      <c r="B285" s="48" t="s">
        <v>256</v>
      </c>
      <c r="C285" s="46"/>
      <c r="D285" s="46">
        <v>45000</v>
      </c>
      <c r="E285" s="46"/>
      <c r="F285" s="46"/>
    </row>
    <row r="286" spans="1:6" s="110" customFormat="1" ht="24.9" customHeight="1">
      <c r="A286" s="108"/>
      <c r="B286" s="48" t="s">
        <v>257</v>
      </c>
      <c r="C286" s="46"/>
      <c r="D286" s="46">
        <v>5000</v>
      </c>
      <c r="E286" s="46"/>
      <c r="F286" s="46"/>
    </row>
    <row r="287" spans="1:6" s="110" customFormat="1" ht="24.9" customHeight="1">
      <c r="A287" s="108"/>
      <c r="B287" s="48" t="s">
        <v>578</v>
      </c>
      <c r="C287" s="46"/>
      <c r="D287" s="46">
        <v>22000</v>
      </c>
      <c r="E287" s="46"/>
      <c r="F287" s="46"/>
    </row>
    <row r="288" spans="1:6" s="110" customFormat="1" ht="24.9" customHeight="1">
      <c r="A288" s="108"/>
      <c r="B288" s="48" t="s">
        <v>964</v>
      </c>
      <c r="C288" s="46"/>
      <c r="D288" s="46">
        <v>2000</v>
      </c>
      <c r="E288" s="46"/>
      <c r="F288" s="46"/>
    </row>
    <row r="289" spans="1:6" s="110" customFormat="1" ht="24.9" customHeight="1">
      <c r="A289" s="108"/>
      <c r="B289" s="48" t="s">
        <v>258</v>
      </c>
      <c r="C289" s="46"/>
      <c r="D289" s="46">
        <v>60000</v>
      </c>
      <c r="E289" s="46"/>
      <c r="F289" s="46"/>
    </row>
    <row r="290" spans="1:6" s="124" customFormat="1" ht="24.9" customHeight="1">
      <c r="A290" s="119">
        <v>9</v>
      </c>
      <c r="B290" s="107" t="s">
        <v>259</v>
      </c>
      <c r="C290" s="47"/>
      <c r="D290" s="47">
        <f>SUM(D291:D292)</f>
        <v>225000</v>
      </c>
      <c r="E290" s="47"/>
      <c r="F290" s="47"/>
    </row>
    <row r="291" spans="1:6" s="110" customFormat="1" ht="24.9" customHeight="1">
      <c r="A291" s="108"/>
      <c r="B291" s="48" t="s">
        <v>617</v>
      </c>
      <c r="C291" s="46"/>
      <c r="D291" s="46">
        <v>124000</v>
      </c>
      <c r="E291" s="46"/>
      <c r="F291" s="46"/>
    </row>
    <row r="292" spans="1:6" s="110" customFormat="1" ht="24.9" customHeight="1">
      <c r="A292" s="108"/>
      <c r="B292" s="48" t="s">
        <v>688</v>
      </c>
      <c r="C292" s="46"/>
      <c r="D292" s="46">
        <v>101000</v>
      </c>
      <c r="E292" s="46"/>
      <c r="F292" s="46"/>
    </row>
    <row r="293" spans="1:6" s="124" customFormat="1" ht="24.9" customHeight="1">
      <c r="A293" s="119">
        <v>10</v>
      </c>
      <c r="B293" s="107" t="s">
        <v>636</v>
      </c>
      <c r="C293" s="47"/>
      <c r="D293" s="47">
        <f>SUM(D294:D312)-D307-D308-D309</f>
        <v>214000</v>
      </c>
      <c r="E293" s="47"/>
      <c r="F293" s="47"/>
    </row>
    <row r="294" spans="1:6" s="110" customFormat="1" ht="38.25" customHeight="1">
      <c r="A294" s="108"/>
      <c r="B294" s="114" t="s">
        <v>719</v>
      </c>
      <c r="C294" s="46"/>
      <c r="D294" s="112">
        <v>7000</v>
      </c>
      <c r="E294" s="46"/>
      <c r="F294" s="46"/>
    </row>
    <row r="295" spans="1:6" s="110" customFormat="1" ht="37.5" customHeight="1">
      <c r="A295" s="108"/>
      <c r="B295" s="114" t="s">
        <v>637</v>
      </c>
      <c r="C295" s="46"/>
      <c r="D295" s="112">
        <v>3000</v>
      </c>
      <c r="E295" s="46"/>
      <c r="F295" s="46"/>
    </row>
    <row r="296" spans="1:6" s="110" customFormat="1" ht="24.9" customHeight="1">
      <c r="A296" s="108"/>
      <c r="B296" s="46" t="s">
        <v>223</v>
      </c>
      <c r="C296" s="46"/>
      <c r="D296" s="112">
        <v>1600</v>
      </c>
      <c r="E296" s="46"/>
      <c r="F296" s="46"/>
    </row>
    <row r="297" spans="1:6" s="110" customFormat="1" ht="24.9" customHeight="1">
      <c r="A297" s="108"/>
      <c r="B297" s="114" t="s">
        <v>638</v>
      </c>
      <c r="C297" s="46"/>
      <c r="D297" s="112">
        <v>10000</v>
      </c>
      <c r="E297" s="46"/>
      <c r="F297" s="46"/>
    </row>
    <row r="298" spans="1:6" s="110" customFormat="1" ht="24.9" customHeight="1">
      <c r="A298" s="108"/>
      <c r="B298" s="114" t="s">
        <v>717</v>
      </c>
      <c r="C298" s="46"/>
      <c r="D298" s="112">
        <v>10000</v>
      </c>
      <c r="E298" s="46"/>
      <c r="F298" s="46"/>
    </row>
    <row r="299" spans="1:6" s="110" customFormat="1" ht="24.9" customHeight="1">
      <c r="A299" s="108"/>
      <c r="B299" s="114" t="s">
        <v>639</v>
      </c>
      <c r="C299" s="46"/>
      <c r="D299" s="112">
        <v>5000</v>
      </c>
      <c r="E299" s="46"/>
      <c r="F299" s="46"/>
    </row>
    <row r="300" spans="1:6" s="110" customFormat="1" ht="28.8" customHeight="1">
      <c r="A300" s="108"/>
      <c r="B300" s="114" t="s">
        <v>997</v>
      </c>
      <c r="C300" s="46"/>
      <c r="D300" s="112">
        <v>5000</v>
      </c>
      <c r="E300" s="46"/>
      <c r="F300" s="46"/>
    </row>
    <row r="301" spans="1:6" s="110" customFormat="1" ht="36.75" customHeight="1">
      <c r="A301" s="108"/>
      <c r="B301" s="114" t="s">
        <v>640</v>
      </c>
      <c r="C301" s="46"/>
      <c r="D301" s="112">
        <v>2000</v>
      </c>
      <c r="E301" s="46"/>
      <c r="F301" s="46"/>
    </row>
    <row r="302" spans="1:6" s="110" customFormat="1" ht="51" customHeight="1">
      <c r="A302" s="108"/>
      <c r="B302" s="114" t="s">
        <v>641</v>
      </c>
      <c r="C302" s="46"/>
      <c r="D302" s="112">
        <v>11900</v>
      </c>
      <c r="E302" s="46"/>
      <c r="F302" s="46"/>
    </row>
    <row r="303" spans="1:6" s="110" customFormat="1" ht="24.9" customHeight="1">
      <c r="A303" s="108"/>
      <c r="B303" s="114" t="s">
        <v>642</v>
      </c>
      <c r="C303" s="46"/>
      <c r="D303" s="112">
        <v>30000</v>
      </c>
      <c r="E303" s="46"/>
      <c r="F303" s="46"/>
    </row>
    <row r="304" spans="1:6" s="110" customFormat="1" ht="24.9" customHeight="1">
      <c r="A304" s="108"/>
      <c r="B304" s="114" t="s">
        <v>643</v>
      </c>
      <c r="C304" s="46"/>
      <c r="D304" s="112">
        <v>10000</v>
      </c>
      <c r="E304" s="46"/>
      <c r="F304" s="46"/>
    </row>
    <row r="305" spans="1:6" s="110" customFormat="1" ht="24.9" customHeight="1">
      <c r="A305" s="108"/>
      <c r="B305" s="114" t="s">
        <v>644</v>
      </c>
      <c r="C305" s="46"/>
      <c r="D305" s="112">
        <v>2500</v>
      </c>
      <c r="E305" s="46"/>
      <c r="F305" s="46"/>
    </row>
    <row r="306" spans="1:6" s="110" customFormat="1" ht="24.9" customHeight="1">
      <c r="A306" s="108"/>
      <c r="B306" s="114" t="s">
        <v>645</v>
      </c>
      <c r="C306" s="46"/>
      <c r="D306" s="112">
        <f>D307+D308+D309</f>
        <v>70000</v>
      </c>
      <c r="E306" s="46"/>
      <c r="F306" s="46"/>
    </row>
    <row r="307" spans="1:6" s="110" customFormat="1" ht="24.9" customHeight="1">
      <c r="A307" s="108"/>
      <c r="B307" s="115" t="s">
        <v>218</v>
      </c>
      <c r="C307" s="46"/>
      <c r="D307" s="113">
        <f>22000+20000</f>
        <v>42000</v>
      </c>
      <c r="E307" s="46"/>
      <c r="F307" s="46"/>
    </row>
    <row r="308" spans="1:6" s="110" customFormat="1" ht="24.9" customHeight="1">
      <c r="A308" s="108"/>
      <c r="B308" s="115" t="s">
        <v>219</v>
      </c>
      <c r="C308" s="46"/>
      <c r="D308" s="113">
        <f>8000+5000</f>
        <v>13000</v>
      </c>
      <c r="E308" s="46"/>
      <c r="F308" s="46"/>
    </row>
    <row r="309" spans="1:6" s="110" customFormat="1" ht="24.9" customHeight="1">
      <c r="A309" s="108"/>
      <c r="B309" s="115" t="s">
        <v>632</v>
      </c>
      <c r="C309" s="46"/>
      <c r="D309" s="113">
        <f>10000+5000</f>
        <v>15000</v>
      </c>
      <c r="E309" s="46"/>
      <c r="F309" s="46"/>
    </row>
    <row r="310" spans="1:6" s="110" customFormat="1" ht="24.9" customHeight="1">
      <c r="A310" s="108"/>
      <c r="B310" s="114" t="s">
        <v>646</v>
      </c>
      <c r="C310" s="46"/>
      <c r="D310" s="112">
        <v>23000</v>
      </c>
      <c r="E310" s="46"/>
      <c r="F310" s="46"/>
    </row>
    <row r="311" spans="1:6" s="110" customFormat="1" ht="24.9" customHeight="1">
      <c r="A311" s="108"/>
      <c r="B311" s="114" t="s">
        <v>647</v>
      </c>
      <c r="C311" s="46"/>
      <c r="D311" s="112">
        <v>3000</v>
      </c>
      <c r="E311" s="46"/>
      <c r="F311" s="46"/>
    </row>
    <row r="312" spans="1:6" s="110" customFormat="1" ht="24.9" customHeight="1">
      <c r="A312" s="108"/>
      <c r="B312" s="114" t="s">
        <v>648</v>
      </c>
      <c r="C312" s="46"/>
      <c r="D312" s="112">
        <v>20000</v>
      </c>
      <c r="E312" s="46"/>
      <c r="F312" s="46"/>
    </row>
    <row r="313" spans="1:6" s="124" customFormat="1" ht="27" customHeight="1">
      <c r="A313" s="119" t="s">
        <v>260</v>
      </c>
      <c r="B313" s="107" t="s">
        <v>261</v>
      </c>
      <c r="C313" s="47">
        <f>D313+E313+F313</f>
        <v>213600</v>
      </c>
      <c r="D313" s="47">
        <v>213600</v>
      </c>
      <c r="E313" s="47"/>
      <c r="F313" s="47"/>
    </row>
    <row r="314" spans="1:6" s="124" customFormat="1" ht="27" customHeight="1">
      <c r="A314" s="119" t="s">
        <v>262</v>
      </c>
      <c r="B314" s="107" t="s">
        <v>263</v>
      </c>
      <c r="C314" s="47">
        <f t="shared" ref="C314:C326" si="3">D314+E314+F314</f>
        <v>331220</v>
      </c>
      <c r="D314" s="47">
        <v>235000</v>
      </c>
      <c r="E314" s="47">
        <f>58880+3120</f>
        <v>62000</v>
      </c>
      <c r="F314" s="47">
        <f>31880+2340</f>
        <v>34220</v>
      </c>
    </row>
    <row r="315" spans="1:6" s="124" customFormat="1" ht="27" customHeight="1">
      <c r="A315" s="119" t="s">
        <v>264</v>
      </c>
      <c r="B315" s="107" t="s">
        <v>265</v>
      </c>
      <c r="C315" s="47">
        <f t="shared" si="3"/>
        <v>1340</v>
      </c>
      <c r="D315" s="47">
        <v>1340</v>
      </c>
      <c r="E315" s="47"/>
      <c r="F315" s="47"/>
    </row>
    <row r="316" spans="1:6" s="124" customFormat="1" ht="27" customHeight="1">
      <c r="A316" s="119" t="s">
        <v>266</v>
      </c>
      <c r="B316" s="107" t="s">
        <v>595</v>
      </c>
      <c r="C316" s="47">
        <f t="shared" si="3"/>
        <v>90000</v>
      </c>
      <c r="D316" s="47">
        <f>65000+25000</f>
        <v>90000</v>
      </c>
      <c r="E316" s="47"/>
      <c r="F316" s="47"/>
    </row>
    <row r="317" spans="1:6" s="124" customFormat="1" ht="27" customHeight="1">
      <c r="A317" s="119" t="s">
        <v>267</v>
      </c>
      <c r="B317" s="107" t="s">
        <v>596</v>
      </c>
      <c r="C317" s="47">
        <f t="shared" si="3"/>
        <v>409860</v>
      </c>
      <c r="D317" s="47">
        <f>675583-347408-31000-11625-2500-5000-25000-5850-41000-6000-500-5000-13700</f>
        <v>181000</v>
      </c>
      <c r="E317" s="47">
        <f>150312+49741-44496-16752+6000+500</f>
        <v>145305</v>
      </c>
      <c r="F317" s="47">
        <f>85903+22545-14263-10630</f>
        <v>83555</v>
      </c>
    </row>
    <row r="318" spans="1:6" s="124" customFormat="1" ht="27" customHeight="1">
      <c r="A318" s="119" t="s">
        <v>268</v>
      </c>
      <c r="B318" s="107" t="s">
        <v>269</v>
      </c>
      <c r="C318" s="47">
        <f t="shared" si="3"/>
        <v>9000</v>
      </c>
      <c r="D318" s="47">
        <v>9000</v>
      </c>
      <c r="E318" s="47"/>
      <c r="F318" s="47"/>
    </row>
    <row r="319" spans="1:6" s="124" customFormat="1" ht="27" customHeight="1">
      <c r="A319" s="119" t="s">
        <v>270</v>
      </c>
      <c r="B319" s="107" t="s">
        <v>271</v>
      </c>
      <c r="C319" s="47">
        <f t="shared" si="3"/>
        <v>5000</v>
      </c>
      <c r="D319" s="47">
        <v>5000</v>
      </c>
      <c r="E319" s="47"/>
      <c r="F319" s="47"/>
    </row>
    <row r="320" spans="1:6" s="124" customFormat="1" ht="27" customHeight="1">
      <c r="A320" s="119" t="s">
        <v>272</v>
      </c>
      <c r="B320" s="107" t="s">
        <v>273</v>
      </c>
      <c r="C320" s="47">
        <f t="shared" si="3"/>
        <v>10000</v>
      </c>
      <c r="D320" s="47">
        <v>10000</v>
      </c>
      <c r="E320" s="47"/>
      <c r="F320" s="47"/>
    </row>
    <row r="321" spans="1:6" s="124" customFormat="1" ht="27" customHeight="1">
      <c r="A321" s="119" t="s">
        <v>274</v>
      </c>
      <c r="B321" s="107" t="s">
        <v>275</v>
      </c>
      <c r="C321" s="47">
        <f t="shared" si="3"/>
        <v>11000</v>
      </c>
      <c r="D321" s="47">
        <v>11000</v>
      </c>
      <c r="E321" s="47"/>
      <c r="F321" s="47"/>
    </row>
    <row r="322" spans="1:6" s="124" customFormat="1" ht="27" customHeight="1">
      <c r="A322" s="119" t="s">
        <v>276</v>
      </c>
      <c r="B322" s="107" t="s">
        <v>277</v>
      </c>
      <c r="C322" s="47">
        <f t="shared" si="3"/>
        <v>177788</v>
      </c>
      <c r="D322" s="47"/>
      <c r="E322" s="47">
        <v>177788</v>
      </c>
      <c r="F322" s="47"/>
    </row>
    <row r="323" spans="1:6" s="124" customFormat="1" ht="27" customHeight="1">
      <c r="A323" s="119" t="s">
        <v>278</v>
      </c>
      <c r="B323" s="107" t="s">
        <v>1002</v>
      </c>
      <c r="C323" s="47">
        <f t="shared" si="3"/>
        <v>6850</v>
      </c>
      <c r="D323" s="47">
        <v>6850</v>
      </c>
      <c r="E323" s="47"/>
      <c r="F323" s="47"/>
    </row>
    <row r="324" spans="1:6" s="124" customFormat="1" ht="27" customHeight="1">
      <c r="A324" s="119" t="s">
        <v>279</v>
      </c>
      <c r="B324" s="107" t="s">
        <v>281</v>
      </c>
      <c r="C324" s="47">
        <f t="shared" si="3"/>
        <v>25000</v>
      </c>
      <c r="D324" s="47">
        <v>25000</v>
      </c>
      <c r="E324" s="47"/>
      <c r="F324" s="47"/>
    </row>
    <row r="325" spans="1:6" s="124" customFormat="1" ht="27" customHeight="1">
      <c r="A325" s="119" t="s">
        <v>280</v>
      </c>
      <c r="B325" s="107" t="s">
        <v>283</v>
      </c>
      <c r="C325" s="47">
        <f t="shared" si="3"/>
        <v>10000</v>
      </c>
      <c r="D325" s="47">
        <v>10000</v>
      </c>
      <c r="E325" s="47"/>
      <c r="F325" s="47"/>
    </row>
    <row r="326" spans="1:6" s="124" customFormat="1" ht="27" customHeight="1">
      <c r="A326" s="119" t="s">
        <v>282</v>
      </c>
      <c r="B326" s="107" t="s">
        <v>284</v>
      </c>
      <c r="C326" s="47">
        <f t="shared" si="3"/>
        <v>232519</v>
      </c>
      <c r="D326" s="47">
        <v>232519</v>
      </c>
      <c r="E326" s="47"/>
      <c r="F326" s="47"/>
    </row>
    <row r="327" spans="1:6" s="116" customFormat="1" ht="11.25" customHeight="1">
      <c r="A327" s="138"/>
      <c r="B327" s="144"/>
    </row>
    <row r="328" spans="1:6" ht="21.75" customHeight="1">
      <c r="C328" s="297"/>
      <c r="D328" s="297"/>
      <c r="E328" s="297"/>
      <c r="F328" s="297"/>
    </row>
  </sheetData>
  <mergeCells count="14">
    <mergeCell ref="A1:B1"/>
    <mergeCell ref="C1:F1"/>
    <mergeCell ref="A2:B2"/>
    <mergeCell ref="C2:F2"/>
    <mergeCell ref="C328:F328"/>
    <mergeCell ref="A5:F5"/>
    <mergeCell ref="A6:F6"/>
    <mergeCell ref="D8:F8"/>
    <mergeCell ref="A4:F4"/>
    <mergeCell ref="A9:A11"/>
    <mergeCell ref="B9:B11"/>
    <mergeCell ref="C9:F9"/>
    <mergeCell ref="C10:C11"/>
    <mergeCell ref="D10:F10"/>
  </mergeCells>
  <phoneticPr fontId="0" type="noConversion"/>
  <printOptions horizontalCentered="1"/>
  <pageMargins left="0" right="0" top="0.53" bottom="0.45" header="0.4" footer="0.2"/>
  <pageSetup paperSize="9" scale="98" orientation="landscape" r:id="rId1"/>
  <headerFooter alignWithMargins="0">
    <oddFooter>&amp;C&amp;P/19 (PL 02)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6"/>
  <sheetViews>
    <sheetView view="pageBreakPreview" topLeftCell="A16" zoomScale="60" zoomScaleNormal="110" workbookViewId="0">
      <selection activeCell="A2" sqref="A2:B2"/>
    </sheetView>
  </sheetViews>
  <sheetFormatPr defaultColWidth="9" defaultRowHeight="13.2"/>
  <cols>
    <col min="1" max="1" width="6.59765625" style="22" customWidth="1"/>
    <col min="2" max="2" width="41.8984375" style="21" customWidth="1"/>
    <col min="3" max="3" width="11.59765625" style="77" customWidth="1"/>
    <col min="4" max="4" width="13.19921875" style="77" customWidth="1"/>
    <col min="5" max="6" width="11.59765625" style="77" customWidth="1"/>
    <col min="7" max="7" width="11.59765625" style="78" customWidth="1"/>
    <col min="8" max="8" width="11.59765625" style="77" customWidth="1"/>
    <col min="9" max="16384" width="9" style="21"/>
  </cols>
  <sheetData>
    <row r="1" spans="1:8" ht="17.399999999999999">
      <c r="A1" s="312" t="s">
        <v>993</v>
      </c>
      <c r="B1" s="312"/>
      <c r="C1" s="312" t="s">
        <v>994</v>
      </c>
      <c r="D1" s="312"/>
      <c r="E1" s="312"/>
      <c r="F1" s="312"/>
      <c r="G1" s="312"/>
      <c r="H1" s="312"/>
    </row>
    <row r="2" spans="1:8" ht="17.399999999999999">
      <c r="A2" s="312" t="s">
        <v>999</v>
      </c>
      <c r="B2" s="312"/>
      <c r="C2" s="312" t="s">
        <v>998</v>
      </c>
      <c r="D2" s="312"/>
      <c r="E2" s="312"/>
      <c r="F2" s="312"/>
      <c r="G2" s="312"/>
      <c r="H2" s="312"/>
    </row>
    <row r="4" spans="1:8" ht="21.75" customHeight="1">
      <c r="A4" s="314" t="s">
        <v>324</v>
      </c>
      <c r="B4" s="314"/>
      <c r="C4" s="314"/>
      <c r="D4" s="314"/>
      <c r="E4" s="314"/>
      <c r="F4" s="314"/>
      <c r="G4" s="314"/>
      <c r="H4" s="314"/>
    </row>
    <row r="5" spans="1:8" s="53" customFormat="1" ht="17.399999999999999">
      <c r="A5" s="315" t="s">
        <v>696</v>
      </c>
      <c r="B5" s="315"/>
      <c r="C5" s="315"/>
      <c r="D5" s="315"/>
      <c r="E5" s="315"/>
      <c r="F5" s="315"/>
      <c r="G5" s="315"/>
      <c r="H5" s="315"/>
    </row>
    <row r="6" spans="1:8" s="33" customFormat="1" ht="21" customHeight="1">
      <c r="A6" s="316" t="s">
        <v>995</v>
      </c>
      <c r="B6" s="316"/>
      <c r="C6" s="316"/>
      <c r="D6" s="316"/>
      <c r="E6" s="316"/>
      <c r="F6" s="316"/>
      <c r="G6" s="316"/>
      <c r="H6" s="316"/>
    </row>
    <row r="7" spans="1:8" s="23" customFormat="1" ht="18.75" customHeight="1">
      <c r="A7" s="140"/>
      <c r="B7" s="141"/>
      <c r="C7" s="82"/>
      <c r="D7" s="82"/>
      <c r="E7" s="82"/>
      <c r="F7" s="317" t="s">
        <v>0</v>
      </c>
      <c r="G7" s="317"/>
      <c r="H7" s="317"/>
    </row>
    <row r="8" spans="1:8" s="32" customFormat="1" ht="75.75" customHeight="1">
      <c r="A8" s="228" t="s">
        <v>28</v>
      </c>
      <c r="B8" s="228" t="s">
        <v>331</v>
      </c>
      <c r="C8" s="229" t="s">
        <v>697</v>
      </c>
      <c r="D8" s="229" t="s">
        <v>332</v>
      </c>
      <c r="E8" s="229" t="s">
        <v>333</v>
      </c>
      <c r="F8" s="229" t="s">
        <v>334</v>
      </c>
      <c r="G8" s="229" t="s">
        <v>335</v>
      </c>
      <c r="H8" s="229" t="s">
        <v>336</v>
      </c>
    </row>
    <row r="9" spans="1:8" s="56" customFormat="1" ht="24.9" customHeight="1">
      <c r="A9" s="54" t="s">
        <v>5</v>
      </c>
      <c r="B9" s="54" t="s">
        <v>337</v>
      </c>
      <c r="C9" s="55" t="s">
        <v>597</v>
      </c>
      <c r="D9" s="55" t="s">
        <v>598</v>
      </c>
      <c r="E9" s="55" t="s">
        <v>599</v>
      </c>
      <c r="F9" s="55" t="s">
        <v>600</v>
      </c>
      <c r="G9" s="55" t="s">
        <v>989</v>
      </c>
      <c r="H9" s="55" t="s">
        <v>496</v>
      </c>
    </row>
    <row r="10" spans="1:8" s="58" customFormat="1" ht="24.9" customHeight="1">
      <c r="A10" s="31"/>
      <c r="B10" s="31" t="s">
        <v>338</v>
      </c>
      <c r="C10" s="57">
        <f t="shared" ref="C10:H10" si="0">C11+C70+C110+C119+C152+C176</f>
        <v>2116</v>
      </c>
      <c r="D10" s="57">
        <f t="shared" si="0"/>
        <v>322508.75282737514</v>
      </c>
      <c r="E10" s="57">
        <f t="shared" si="0"/>
        <v>41134</v>
      </c>
      <c r="F10" s="57">
        <f t="shared" si="0"/>
        <v>120</v>
      </c>
      <c r="G10" s="57">
        <f t="shared" si="0"/>
        <v>363762.75282737508</v>
      </c>
      <c r="H10" s="57">
        <f t="shared" si="0"/>
        <v>25861</v>
      </c>
    </row>
    <row r="11" spans="1:8" s="61" customFormat="1" ht="24.9" customHeight="1">
      <c r="A11" s="30" t="s">
        <v>36</v>
      </c>
      <c r="B11" s="59" t="s">
        <v>339</v>
      </c>
      <c r="C11" s="60">
        <f t="shared" ref="C11:H11" si="1">C12+C43</f>
        <v>1578</v>
      </c>
      <c r="D11" s="60">
        <f t="shared" si="1"/>
        <v>229108.95984152591</v>
      </c>
      <c r="E11" s="60">
        <f t="shared" si="1"/>
        <v>31218</v>
      </c>
      <c r="F11" s="60">
        <f t="shared" si="1"/>
        <v>120</v>
      </c>
      <c r="G11" s="60">
        <f t="shared" si="1"/>
        <v>260446.95984152588</v>
      </c>
      <c r="H11" s="60">
        <f t="shared" si="1"/>
        <v>17711</v>
      </c>
    </row>
    <row r="12" spans="1:8" s="61" customFormat="1" ht="24.9" customHeight="1">
      <c r="A12" s="30" t="s">
        <v>5</v>
      </c>
      <c r="B12" s="62" t="s">
        <v>340</v>
      </c>
      <c r="C12" s="60">
        <f t="shared" ref="C12:H12" si="2">SUM(C13:C16,C18,C21:C33,C35:C42)</f>
        <v>938</v>
      </c>
      <c r="D12" s="60">
        <f t="shared" si="2"/>
        <v>138930.18328649265</v>
      </c>
      <c r="E12" s="60">
        <f t="shared" si="2"/>
        <v>19698</v>
      </c>
      <c r="F12" s="60">
        <f t="shared" si="2"/>
        <v>120</v>
      </c>
      <c r="G12" s="60">
        <f t="shared" si="2"/>
        <v>158748.18328649265</v>
      </c>
      <c r="H12" s="60">
        <f t="shared" si="2"/>
        <v>16631</v>
      </c>
    </row>
    <row r="13" spans="1:8" s="61" customFormat="1" ht="24.9" customHeight="1">
      <c r="A13" s="26">
        <v>1</v>
      </c>
      <c r="B13" s="27" t="s">
        <v>341</v>
      </c>
      <c r="C13" s="64">
        <v>64</v>
      </c>
      <c r="D13" s="64">
        <v>9033.2871439999999</v>
      </c>
      <c r="E13" s="64">
        <v>1344</v>
      </c>
      <c r="F13" s="64"/>
      <c r="G13" s="64">
        <f>D13+E13+F13</f>
        <v>10377.287144</v>
      </c>
      <c r="H13" s="64"/>
    </row>
    <row r="14" spans="1:8" s="61" customFormat="1" ht="24.9" customHeight="1">
      <c r="A14" s="26">
        <v>2</v>
      </c>
      <c r="B14" s="27" t="s">
        <v>342</v>
      </c>
      <c r="C14" s="64">
        <v>32</v>
      </c>
      <c r="D14" s="64">
        <v>3275.9652620689658</v>
      </c>
      <c r="E14" s="64">
        <v>672</v>
      </c>
      <c r="F14" s="64"/>
      <c r="G14" s="64">
        <f t="shared" ref="G14:G42" si="3">D14+E14+F14</f>
        <v>3947.9652620689658</v>
      </c>
      <c r="H14" s="64">
        <v>2004</v>
      </c>
    </row>
    <row r="15" spans="1:8" s="61" customFormat="1" ht="24.9" customHeight="1">
      <c r="A15" s="26">
        <v>3</v>
      </c>
      <c r="B15" s="27" t="s">
        <v>343</v>
      </c>
      <c r="C15" s="64">
        <v>37</v>
      </c>
      <c r="D15" s="64">
        <v>4383.7282345454551</v>
      </c>
      <c r="E15" s="64">
        <v>777</v>
      </c>
      <c r="F15" s="64"/>
      <c r="G15" s="64">
        <f t="shared" si="3"/>
        <v>5160.7282345454551</v>
      </c>
      <c r="H15" s="64">
        <v>1400</v>
      </c>
    </row>
    <row r="16" spans="1:8" s="61" customFormat="1" ht="24.9" customHeight="1">
      <c r="A16" s="26">
        <v>4</v>
      </c>
      <c r="B16" s="27" t="s">
        <v>344</v>
      </c>
      <c r="C16" s="64">
        <v>38</v>
      </c>
      <c r="D16" s="64">
        <v>5998.8343500000001</v>
      </c>
      <c r="E16" s="64">
        <v>798</v>
      </c>
      <c r="F16" s="64"/>
      <c r="G16" s="64">
        <f t="shared" si="3"/>
        <v>6796.8343500000001</v>
      </c>
      <c r="H16" s="64"/>
    </row>
    <row r="17" spans="1:8" s="61" customFormat="1" ht="24.9" customHeight="1">
      <c r="A17" s="28"/>
      <c r="B17" s="29" t="s">
        <v>345</v>
      </c>
      <c r="C17" s="65"/>
      <c r="D17" s="64">
        <v>741</v>
      </c>
      <c r="E17" s="64">
        <v>0</v>
      </c>
      <c r="F17" s="65"/>
      <c r="G17" s="64">
        <f t="shared" si="3"/>
        <v>741</v>
      </c>
      <c r="H17" s="65"/>
    </row>
    <row r="18" spans="1:8" s="61" customFormat="1" ht="24.9" customHeight="1">
      <c r="A18" s="26">
        <v>5</v>
      </c>
      <c r="B18" s="27" t="s">
        <v>346</v>
      </c>
      <c r="C18" s="64">
        <v>43</v>
      </c>
      <c r="D18" s="64">
        <v>7701.9509999999991</v>
      </c>
      <c r="E18" s="64">
        <v>903</v>
      </c>
      <c r="F18" s="64">
        <v>0</v>
      </c>
      <c r="G18" s="64">
        <f t="shared" si="3"/>
        <v>8604.9509999999991</v>
      </c>
      <c r="H18" s="64">
        <v>0</v>
      </c>
    </row>
    <row r="19" spans="1:8" s="66" customFormat="1" ht="24.9" customHeight="1">
      <c r="A19" s="28"/>
      <c r="B19" s="29" t="s">
        <v>347</v>
      </c>
      <c r="C19" s="65">
        <v>43</v>
      </c>
      <c r="D19" s="65">
        <v>4701.9509999999991</v>
      </c>
      <c r="E19" s="65">
        <v>903</v>
      </c>
      <c r="F19" s="65"/>
      <c r="G19" s="65">
        <f t="shared" si="3"/>
        <v>5604.9509999999991</v>
      </c>
      <c r="H19" s="65"/>
    </row>
    <row r="20" spans="1:8" s="66" customFormat="1" ht="24.9" customHeight="1">
      <c r="A20" s="28"/>
      <c r="B20" s="29" t="s">
        <v>348</v>
      </c>
      <c r="C20" s="65"/>
      <c r="D20" s="65">
        <v>3000</v>
      </c>
      <c r="E20" s="65">
        <v>0</v>
      </c>
      <c r="F20" s="65"/>
      <c r="G20" s="65">
        <f t="shared" si="3"/>
        <v>3000</v>
      </c>
      <c r="H20" s="65"/>
    </row>
    <row r="21" spans="1:8" s="61" customFormat="1" ht="24.9" customHeight="1">
      <c r="A21" s="26">
        <v>6</v>
      </c>
      <c r="B21" s="27" t="s">
        <v>349</v>
      </c>
      <c r="C21" s="64">
        <v>50</v>
      </c>
      <c r="D21" s="64">
        <v>8321.59242857143</v>
      </c>
      <c r="E21" s="64">
        <v>1050</v>
      </c>
      <c r="F21" s="64"/>
      <c r="G21" s="64">
        <f t="shared" si="3"/>
        <v>9371.59242857143</v>
      </c>
      <c r="H21" s="64">
        <v>1000</v>
      </c>
    </row>
    <row r="22" spans="1:8" s="61" customFormat="1" ht="24.9" customHeight="1">
      <c r="A22" s="26">
        <v>7</v>
      </c>
      <c r="B22" s="27" t="s">
        <v>350</v>
      </c>
      <c r="C22" s="64">
        <v>71</v>
      </c>
      <c r="D22" s="64">
        <v>7957.8053285714268</v>
      </c>
      <c r="E22" s="64">
        <v>1491</v>
      </c>
      <c r="F22" s="64"/>
      <c r="G22" s="64">
        <f t="shared" si="3"/>
        <v>9448.8053285714268</v>
      </c>
      <c r="H22" s="64"/>
    </row>
    <row r="23" spans="1:8" s="61" customFormat="1" ht="24.9" customHeight="1">
      <c r="A23" s="26">
        <v>8</v>
      </c>
      <c r="B23" s="27" t="s">
        <v>351</v>
      </c>
      <c r="C23" s="64">
        <v>56</v>
      </c>
      <c r="D23" s="64">
        <v>6499.1383552941188</v>
      </c>
      <c r="E23" s="64">
        <v>1176</v>
      </c>
      <c r="F23" s="64"/>
      <c r="G23" s="64">
        <f t="shared" si="3"/>
        <v>7675.1383552941188</v>
      </c>
      <c r="H23" s="64"/>
    </row>
    <row r="24" spans="1:8" s="61" customFormat="1" ht="24.9" customHeight="1">
      <c r="A24" s="26">
        <v>9</v>
      </c>
      <c r="B24" s="27" t="s">
        <v>352</v>
      </c>
      <c r="C24" s="64">
        <v>37</v>
      </c>
      <c r="D24" s="64">
        <v>4547.2113865600004</v>
      </c>
      <c r="E24" s="64">
        <v>777</v>
      </c>
      <c r="F24" s="64"/>
      <c r="G24" s="64">
        <f t="shared" si="3"/>
        <v>5324.2113865600004</v>
      </c>
      <c r="H24" s="64">
        <v>1000</v>
      </c>
    </row>
    <row r="25" spans="1:8" s="61" customFormat="1" ht="24.9" customHeight="1">
      <c r="A25" s="26">
        <v>10</v>
      </c>
      <c r="B25" s="27" t="s">
        <v>353</v>
      </c>
      <c r="C25" s="64">
        <v>58</v>
      </c>
      <c r="D25" s="64">
        <v>6953.2954599999994</v>
      </c>
      <c r="E25" s="64">
        <v>1218</v>
      </c>
      <c r="F25" s="64"/>
      <c r="G25" s="64">
        <f t="shared" si="3"/>
        <v>8171.2954599999994</v>
      </c>
      <c r="H25" s="64"/>
    </row>
    <row r="26" spans="1:8" s="61" customFormat="1" ht="24.9" customHeight="1">
      <c r="A26" s="26">
        <v>11</v>
      </c>
      <c r="B26" s="27" t="s">
        <v>354</v>
      </c>
      <c r="C26" s="64">
        <v>48</v>
      </c>
      <c r="D26" s="64">
        <v>4958.9747613658537</v>
      </c>
      <c r="E26" s="64">
        <v>1008</v>
      </c>
      <c r="F26" s="64"/>
      <c r="G26" s="64">
        <f t="shared" si="3"/>
        <v>5966.9747613658537</v>
      </c>
      <c r="H26" s="64">
        <v>800</v>
      </c>
    </row>
    <row r="27" spans="1:8" s="61" customFormat="1" ht="24.9" customHeight="1">
      <c r="A27" s="26">
        <v>12</v>
      </c>
      <c r="B27" s="27" t="s">
        <v>355</v>
      </c>
      <c r="C27" s="64">
        <v>48</v>
      </c>
      <c r="D27" s="64">
        <v>5180.6533935999996</v>
      </c>
      <c r="E27" s="64">
        <v>1008</v>
      </c>
      <c r="F27" s="64"/>
      <c r="G27" s="64">
        <f t="shared" si="3"/>
        <v>6188.6533935999996</v>
      </c>
      <c r="H27" s="64">
        <v>30</v>
      </c>
    </row>
    <row r="28" spans="1:8" s="61" customFormat="1" ht="24.9" customHeight="1">
      <c r="A28" s="26">
        <v>13</v>
      </c>
      <c r="B28" s="27" t="s">
        <v>356</v>
      </c>
      <c r="C28" s="64">
        <v>51</v>
      </c>
      <c r="D28" s="64">
        <v>5868.9692241224484</v>
      </c>
      <c r="E28" s="64">
        <v>1071</v>
      </c>
      <c r="F28" s="64"/>
      <c r="G28" s="64">
        <f t="shared" si="3"/>
        <v>6939.9692241224484</v>
      </c>
      <c r="H28" s="64">
        <v>2500</v>
      </c>
    </row>
    <row r="29" spans="1:8" s="61" customFormat="1" ht="24.9" customHeight="1">
      <c r="A29" s="26">
        <v>14</v>
      </c>
      <c r="B29" s="27" t="s">
        <v>357</v>
      </c>
      <c r="C29" s="64">
        <v>32</v>
      </c>
      <c r="D29" s="64">
        <v>3355.4577870967746</v>
      </c>
      <c r="E29" s="64">
        <v>672</v>
      </c>
      <c r="F29" s="64"/>
      <c r="G29" s="64">
        <f t="shared" si="3"/>
        <v>4027.4577870967746</v>
      </c>
      <c r="H29" s="64">
        <v>5397</v>
      </c>
    </row>
    <row r="30" spans="1:8" s="61" customFormat="1" ht="24.9" customHeight="1">
      <c r="A30" s="26">
        <v>15</v>
      </c>
      <c r="B30" s="27" t="s">
        <v>358</v>
      </c>
      <c r="C30" s="64">
        <v>33</v>
      </c>
      <c r="D30" s="64">
        <v>3539.6051922580641</v>
      </c>
      <c r="E30" s="64">
        <v>693</v>
      </c>
      <c r="F30" s="64"/>
      <c r="G30" s="64">
        <f t="shared" si="3"/>
        <v>4232.6051922580646</v>
      </c>
      <c r="H30" s="64"/>
    </row>
    <row r="31" spans="1:8" s="61" customFormat="1" ht="24.9" customHeight="1">
      <c r="A31" s="26">
        <v>16</v>
      </c>
      <c r="B31" s="27" t="s">
        <v>359</v>
      </c>
      <c r="C31" s="64">
        <v>36</v>
      </c>
      <c r="D31" s="64">
        <v>4587.4459780645166</v>
      </c>
      <c r="E31" s="64">
        <v>756</v>
      </c>
      <c r="F31" s="64"/>
      <c r="G31" s="64">
        <f t="shared" si="3"/>
        <v>5343.4459780645166</v>
      </c>
      <c r="H31" s="64"/>
    </row>
    <row r="32" spans="1:8" s="61" customFormat="1" ht="24.9" customHeight="1">
      <c r="A32" s="26">
        <v>17</v>
      </c>
      <c r="B32" s="27" t="s">
        <v>360</v>
      </c>
      <c r="C32" s="64">
        <v>60</v>
      </c>
      <c r="D32" s="64">
        <v>12508.758227118644</v>
      </c>
      <c r="E32" s="64">
        <v>1260</v>
      </c>
      <c r="F32" s="64"/>
      <c r="G32" s="64">
        <f t="shared" si="3"/>
        <v>13768.758227118644</v>
      </c>
      <c r="H32" s="64"/>
    </row>
    <row r="33" spans="1:8" s="61" customFormat="1" ht="24.9" customHeight="1">
      <c r="A33" s="26">
        <v>18</v>
      </c>
      <c r="B33" s="27" t="s">
        <v>361</v>
      </c>
      <c r="C33" s="64">
        <v>22</v>
      </c>
      <c r="D33" s="64">
        <v>8762.5557566315783</v>
      </c>
      <c r="E33" s="64">
        <v>462</v>
      </c>
      <c r="F33" s="64">
        <v>60</v>
      </c>
      <c r="G33" s="64">
        <f t="shared" si="3"/>
        <v>9284.5557566315783</v>
      </c>
      <c r="H33" s="64"/>
    </row>
    <row r="34" spans="1:8" s="66" customFormat="1" ht="24.9" customHeight="1">
      <c r="A34" s="28"/>
      <c r="B34" s="29" t="s">
        <v>362</v>
      </c>
      <c r="C34" s="65"/>
      <c r="D34" s="65">
        <v>4700</v>
      </c>
      <c r="E34" s="65">
        <v>0</v>
      </c>
      <c r="F34" s="65"/>
      <c r="G34" s="65">
        <f t="shared" si="3"/>
        <v>4700</v>
      </c>
      <c r="H34" s="65"/>
    </row>
    <row r="35" spans="1:8" s="61" customFormat="1" ht="24.9" customHeight="1">
      <c r="A35" s="26">
        <v>19</v>
      </c>
      <c r="B35" s="27" t="s">
        <v>363</v>
      </c>
      <c r="C35" s="64">
        <v>81</v>
      </c>
      <c r="D35" s="64">
        <v>9840.5692966233764</v>
      </c>
      <c r="E35" s="64">
        <v>1701</v>
      </c>
      <c r="F35" s="64"/>
      <c r="G35" s="64">
        <f t="shared" si="3"/>
        <v>11541.569296623376</v>
      </c>
      <c r="H35" s="64">
        <v>2500</v>
      </c>
    </row>
    <row r="36" spans="1:8" s="61" customFormat="1" ht="24.9" customHeight="1">
      <c r="A36" s="26">
        <v>20</v>
      </c>
      <c r="B36" s="27" t="s">
        <v>364</v>
      </c>
      <c r="C36" s="64">
        <v>27</v>
      </c>
      <c r="D36" s="64">
        <v>2722.6245799999992</v>
      </c>
      <c r="E36" s="64">
        <v>567</v>
      </c>
      <c r="F36" s="64">
        <v>60</v>
      </c>
      <c r="G36" s="64">
        <f t="shared" si="3"/>
        <v>3349.6245799999992</v>
      </c>
      <c r="H36" s="64"/>
    </row>
    <row r="37" spans="1:8" s="61" customFormat="1" ht="24.9" customHeight="1">
      <c r="A37" s="26">
        <v>21</v>
      </c>
      <c r="B37" s="27" t="s">
        <v>365</v>
      </c>
      <c r="C37" s="64">
        <v>9</v>
      </c>
      <c r="D37" s="64">
        <v>763.29345999999998</v>
      </c>
      <c r="E37" s="64">
        <v>189</v>
      </c>
      <c r="F37" s="64"/>
      <c r="G37" s="64">
        <f t="shared" si="3"/>
        <v>952.29345999999998</v>
      </c>
      <c r="H37" s="64"/>
    </row>
    <row r="38" spans="1:8" s="61" customFormat="1" ht="24.9" customHeight="1">
      <c r="A38" s="26">
        <v>22</v>
      </c>
      <c r="B38" s="27" t="s">
        <v>366</v>
      </c>
      <c r="C38" s="64">
        <v>5</v>
      </c>
      <c r="D38" s="64">
        <v>618.46668</v>
      </c>
      <c r="E38" s="64">
        <v>105</v>
      </c>
      <c r="F38" s="64"/>
      <c r="G38" s="64">
        <f t="shared" si="3"/>
        <v>723.46668</v>
      </c>
      <c r="H38" s="64"/>
    </row>
    <row r="39" spans="1:8" s="61" customFormat="1" ht="24.9" customHeight="1">
      <c r="A39" s="26" t="s">
        <v>530</v>
      </c>
      <c r="B39" s="27" t="s">
        <v>367</v>
      </c>
      <c r="C39" s="64"/>
      <c r="D39" s="64">
        <v>1200</v>
      </c>
      <c r="E39" s="64"/>
      <c r="F39" s="64"/>
      <c r="G39" s="64">
        <f t="shared" si="3"/>
        <v>1200</v>
      </c>
      <c r="H39" s="64"/>
    </row>
    <row r="40" spans="1:8" s="61" customFormat="1" ht="36.9" customHeight="1">
      <c r="A40" s="26" t="s">
        <v>532</v>
      </c>
      <c r="B40" s="67" t="s">
        <v>652</v>
      </c>
      <c r="C40" s="64"/>
      <c r="D40" s="64">
        <v>200</v>
      </c>
      <c r="E40" s="64"/>
      <c r="F40" s="64"/>
      <c r="G40" s="64">
        <f t="shared" si="3"/>
        <v>200</v>
      </c>
      <c r="H40" s="64"/>
    </row>
    <row r="41" spans="1:8" s="61" customFormat="1" ht="24.9" customHeight="1">
      <c r="A41" s="26" t="s">
        <v>533</v>
      </c>
      <c r="B41" s="67" t="s">
        <v>653</v>
      </c>
      <c r="C41" s="64"/>
      <c r="D41" s="64">
        <v>150</v>
      </c>
      <c r="E41" s="64"/>
      <c r="F41" s="64"/>
      <c r="G41" s="64">
        <f t="shared" si="3"/>
        <v>150</v>
      </c>
      <c r="H41" s="64"/>
    </row>
    <row r="42" spans="1:8" s="61" customFormat="1" ht="24.9" customHeight="1">
      <c r="A42" s="26" t="s">
        <v>534</v>
      </c>
      <c r="B42" s="27" t="s">
        <v>368</v>
      </c>
      <c r="C42" s="64"/>
      <c r="D42" s="64">
        <v>10000</v>
      </c>
      <c r="E42" s="64"/>
      <c r="F42" s="64"/>
      <c r="G42" s="64">
        <f t="shared" si="3"/>
        <v>10000</v>
      </c>
      <c r="H42" s="64"/>
    </row>
    <row r="43" spans="1:8" s="68" customFormat="1" ht="24.9" customHeight="1">
      <c r="A43" s="30" t="s">
        <v>337</v>
      </c>
      <c r="B43" s="62" t="s">
        <v>369</v>
      </c>
      <c r="C43" s="57">
        <f t="shared" ref="C43:H43" si="4">SUM(C44,C46:C65,C68:C69)</f>
        <v>640</v>
      </c>
      <c r="D43" s="57">
        <f t="shared" si="4"/>
        <v>90178.776555033255</v>
      </c>
      <c r="E43" s="57">
        <f t="shared" si="4"/>
        <v>11520</v>
      </c>
      <c r="F43" s="57">
        <f t="shared" si="4"/>
        <v>0</v>
      </c>
      <c r="G43" s="57">
        <f t="shared" si="4"/>
        <v>101698.77655503324</v>
      </c>
      <c r="H43" s="57">
        <f t="shared" si="4"/>
        <v>1080</v>
      </c>
    </row>
    <row r="44" spans="1:8" s="61" customFormat="1" ht="24.9" customHeight="1">
      <c r="A44" s="26" t="s">
        <v>536</v>
      </c>
      <c r="B44" s="27" t="s">
        <v>370</v>
      </c>
      <c r="C44" s="64">
        <v>13</v>
      </c>
      <c r="D44" s="64">
        <v>4507.2110000000002</v>
      </c>
      <c r="E44" s="64">
        <v>234</v>
      </c>
      <c r="F44" s="64"/>
      <c r="G44" s="64">
        <f t="shared" ref="G44:G69" si="5">D44+E44+F44</f>
        <v>4741.2110000000002</v>
      </c>
      <c r="H44" s="64"/>
    </row>
    <row r="45" spans="1:8" s="61" customFormat="1" ht="24.9" customHeight="1">
      <c r="A45" s="28"/>
      <c r="B45" s="29" t="s">
        <v>371</v>
      </c>
      <c r="C45" s="64"/>
      <c r="D45" s="64">
        <v>1800</v>
      </c>
      <c r="E45" s="64">
        <v>0</v>
      </c>
      <c r="F45" s="69"/>
      <c r="G45" s="64">
        <f t="shared" si="5"/>
        <v>1800</v>
      </c>
      <c r="H45" s="69"/>
    </row>
    <row r="46" spans="1:8" s="61" customFormat="1" ht="24.9" customHeight="1">
      <c r="A46" s="26" t="s">
        <v>537</v>
      </c>
      <c r="B46" s="27" t="s">
        <v>372</v>
      </c>
      <c r="C46" s="64">
        <v>14</v>
      </c>
      <c r="D46" s="64">
        <v>1669.2829999999999</v>
      </c>
      <c r="E46" s="64">
        <v>252</v>
      </c>
      <c r="F46" s="64"/>
      <c r="G46" s="64">
        <f t="shared" si="5"/>
        <v>1921.2829999999999</v>
      </c>
      <c r="H46" s="64"/>
    </row>
    <row r="47" spans="1:8" s="61" customFormat="1" ht="24.9" customHeight="1">
      <c r="A47" s="26" t="s">
        <v>538</v>
      </c>
      <c r="B47" s="27" t="s">
        <v>373</v>
      </c>
      <c r="C47" s="64">
        <v>18</v>
      </c>
      <c r="D47" s="64">
        <v>1964.9135680000002</v>
      </c>
      <c r="E47" s="64">
        <v>324</v>
      </c>
      <c r="F47" s="64"/>
      <c r="G47" s="64">
        <f t="shared" si="5"/>
        <v>2288.9135679999999</v>
      </c>
      <c r="H47" s="65"/>
    </row>
    <row r="48" spans="1:8" s="61" customFormat="1" ht="24.9" customHeight="1">
      <c r="A48" s="26" t="s">
        <v>539</v>
      </c>
      <c r="B48" s="27" t="s">
        <v>374</v>
      </c>
      <c r="C48" s="64">
        <v>16</v>
      </c>
      <c r="D48" s="64">
        <v>1399.9528559999999</v>
      </c>
      <c r="E48" s="64">
        <v>288</v>
      </c>
      <c r="F48" s="64"/>
      <c r="G48" s="64">
        <f t="shared" si="5"/>
        <v>1687.9528559999999</v>
      </c>
      <c r="H48" s="64">
        <v>150</v>
      </c>
    </row>
    <row r="49" spans="1:8" s="61" customFormat="1" ht="24.9" customHeight="1">
      <c r="A49" s="26" t="s">
        <v>542</v>
      </c>
      <c r="B49" s="27" t="s">
        <v>375</v>
      </c>
      <c r="C49" s="64">
        <v>21</v>
      </c>
      <c r="D49" s="64">
        <v>2753.6392736842104</v>
      </c>
      <c r="E49" s="64">
        <v>378</v>
      </c>
      <c r="F49" s="64"/>
      <c r="G49" s="64">
        <f t="shared" si="5"/>
        <v>3131.6392736842104</v>
      </c>
      <c r="H49" s="64"/>
    </row>
    <row r="50" spans="1:8" s="61" customFormat="1" ht="24.9" customHeight="1">
      <c r="A50" s="26" t="s">
        <v>544</v>
      </c>
      <c r="B50" s="27" t="s">
        <v>376</v>
      </c>
      <c r="C50" s="64">
        <v>254</v>
      </c>
      <c r="D50" s="64">
        <v>35614.572408370041</v>
      </c>
      <c r="E50" s="64">
        <v>4572</v>
      </c>
      <c r="F50" s="64"/>
      <c r="G50" s="64">
        <f t="shared" si="5"/>
        <v>40186.572408370041</v>
      </c>
      <c r="H50" s="64"/>
    </row>
    <row r="51" spans="1:8" s="61" customFormat="1" ht="24.9" customHeight="1">
      <c r="A51" s="26" t="s">
        <v>545</v>
      </c>
      <c r="B51" s="27" t="s">
        <v>377</v>
      </c>
      <c r="C51" s="64">
        <v>14</v>
      </c>
      <c r="D51" s="64">
        <v>1213.4582399999999</v>
      </c>
      <c r="E51" s="64">
        <v>252</v>
      </c>
      <c r="F51" s="64"/>
      <c r="G51" s="64">
        <f t="shared" si="5"/>
        <v>1465.4582399999999</v>
      </c>
      <c r="H51" s="64">
        <v>500</v>
      </c>
    </row>
    <row r="52" spans="1:8" s="61" customFormat="1" ht="24.9" customHeight="1">
      <c r="A52" s="26" t="s">
        <v>547</v>
      </c>
      <c r="B52" s="27" t="s">
        <v>378</v>
      </c>
      <c r="C52" s="64">
        <v>26</v>
      </c>
      <c r="D52" s="64">
        <v>3035.06016</v>
      </c>
      <c r="E52" s="64">
        <v>468</v>
      </c>
      <c r="F52" s="64"/>
      <c r="G52" s="64">
        <f t="shared" si="5"/>
        <v>3503.06016</v>
      </c>
      <c r="H52" s="64"/>
    </row>
    <row r="53" spans="1:8" s="61" customFormat="1" ht="24.9" customHeight="1">
      <c r="A53" s="26" t="s">
        <v>549</v>
      </c>
      <c r="B53" s="27" t="s">
        <v>379</v>
      </c>
      <c r="C53" s="64">
        <v>28</v>
      </c>
      <c r="D53" s="64">
        <v>2786.0542640000003</v>
      </c>
      <c r="E53" s="64">
        <v>504</v>
      </c>
      <c r="F53" s="64"/>
      <c r="G53" s="64">
        <f t="shared" si="5"/>
        <v>3290.0542640000003</v>
      </c>
      <c r="H53" s="64">
        <v>220</v>
      </c>
    </row>
    <row r="54" spans="1:8" s="61" customFormat="1" ht="24.9" customHeight="1">
      <c r="A54" s="26" t="s">
        <v>550</v>
      </c>
      <c r="B54" s="27" t="s">
        <v>380</v>
      </c>
      <c r="C54" s="64">
        <v>19</v>
      </c>
      <c r="D54" s="64">
        <v>2072.4650000000001</v>
      </c>
      <c r="E54" s="64">
        <v>342</v>
      </c>
      <c r="F54" s="64"/>
      <c r="G54" s="64">
        <f t="shared" si="5"/>
        <v>2414.4650000000001</v>
      </c>
      <c r="H54" s="64"/>
    </row>
    <row r="55" spans="1:8" s="61" customFormat="1" ht="24.9" customHeight="1">
      <c r="A55" s="26" t="s">
        <v>551</v>
      </c>
      <c r="B55" s="27" t="s">
        <v>381</v>
      </c>
      <c r="C55" s="64">
        <v>26</v>
      </c>
      <c r="D55" s="64">
        <v>2494.0931999999998</v>
      </c>
      <c r="E55" s="64">
        <v>468</v>
      </c>
      <c r="F55" s="64"/>
      <c r="G55" s="64">
        <f t="shared" si="5"/>
        <v>2962.0931999999998</v>
      </c>
      <c r="H55" s="64"/>
    </row>
    <row r="56" spans="1:8" s="61" customFormat="1" ht="24.9" customHeight="1">
      <c r="A56" s="26" t="s">
        <v>553</v>
      </c>
      <c r="B56" s="27" t="s">
        <v>382</v>
      </c>
      <c r="C56" s="64">
        <v>13</v>
      </c>
      <c r="D56" s="64">
        <v>1205.2813999999998</v>
      </c>
      <c r="E56" s="64">
        <v>234</v>
      </c>
      <c r="F56" s="64"/>
      <c r="G56" s="64">
        <f t="shared" si="5"/>
        <v>1439.2813999999998</v>
      </c>
      <c r="H56" s="64"/>
    </row>
    <row r="57" spans="1:8" s="61" customFormat="1" ht="24.9" customHeight="1">
      <c r="A57" s="26" t="s">
        <v>555</v>
      </c>
      <c r="B57" s="27" t="s">
        <v>383</v>
      </c>
      <c r="C57" s="64">
        <v>78</v>
      </c>
      <c r="D57" s="64">
        <v>9492.6407620779228</v>
      </c>
      <c r="E57" s="64">
        <v>1404</v>
      </c>
      <c r="F57" s="64"/>
      <c r="G57" s="64">
        <f t="shared" si="5"/>
        <v>10896.640762077923</v>
      </c>
      <c r="H57" s="64"/>
    </row>
    <row r="58" spans="1:8" s="61" customFormat="1" ht="24.9" customHeight="1">
      <c r="A58" s="26" t="s">
        <v>557</v>
      </c>
      <c r="B58" s="27" t="s">
        <v>384</v>
      </c>
      <c r="C58" s="64">
        <v>23</v>
      </c>
      <c r="D58" s="64">
        <v>2084.6710742857144</v>
      </c>
      <c r="E58" s="64">
        <v>414</v>
      </c>
      <c r="F58" s="64"/>
      <c r="G58" s="64">
        <f t="shared" si="5"/>
        <v>2498.6710742857144</v>
      </c>
      <c r="H58" s="64">
        <v>160</v>
      </c>
    </row>
    <row r="59" spans="1:8" s="61" customFormat="1" ht="24.9" customHeight="1">
      <c r="A59" s="26" t="s">
        <v>558</v>
      </c>
      <c r="B59" s="27" t="s">
        <v>385</v>
      </c>
      <c r="C59" s="64">
        <v>14</v>
      </c>
      <c r="D59" s="64">
        <v>1319.4615046153847</v>
      </c>
      <c r="E59" s="64">
        <v>252</v>
      </c>
      <c r="F59" s="64"/>
      <c r="G59" s="64">
        <f t="shared" si="5"/>
        <v>1571.4615046153847</v>
      </c>
      <c r="H59" s="64"/>
    </row>
    <row r="60" spans="1:8" s="61" customFormat="1" ht="24.9" customHeight="1">
      <c r="A60" s="26" t="s">
        <v>560</v>
      </c>
      <c r="B60" s="27" t="s">
        <v>386</v>
      </c>
      <c r="C60" s="64">
        <v>7</v>
      </c>
      <c r="D60" s="64">
        <v>1503.6179799999998</v>
      </c>
      <c r="E60" s="64">
        <v>126</v>
      </c>
      <c r="F60" s="64"/>
      <c r="G60" s="64">
        <f t="shared" si="5"/>
        <v>1629.6179799999998</v>
      </c>
      <c r="H60" s="64"/>
    </row>
    <row r="61" spans="1:8" s="61" customFormat="1" ht="24.9" customHeight="1">
      <c r="A61" s="26" t="s">
        <v>561</v>
      </c>
      <c r="B61" s="27" t="s">
        <v>387</v>
      </c>
      <c r="C61" s="64">
        <v>16</v>
      </c>
      <c r="D61" s="64">
        <v>1572.010984</v>
      </c>
      <c r="E61" s="64">
        <v>288</v>
      </c>
      <c r="F61" s="64"/>
      <c r="G61" s="64">
        <f t="shared" si="5"/>
        <v>1860.010984</v>
      </c>
      <c r="H61" s="64"/>
    </row>
    <row r="62" spans="1:8" s="61" customFormat="1" ht="24.9" customHeight="1">
      <c r="A62" s="26" t="s">
        <v>562</v>
      </c>
      <c r="B62" s="27" t="s">
        <v>388</v>
      </c>
      <c r="C62" s="64">
        <v>21</v>
      </c>
      <c r="D62" s="64">
        <v>2188.7320399999999</v>
      </c>
      <c r="E62" s="64">
        <v>378</v>
      </c>
      <c r="F62" s="64"/>
      <c r="G62" s="64">
        <f t="shared" si="5"/>
        <v>2566.7320399999999</v>
      </c>
      <c r="H62" s="64"/>
    </row>
    <row r="63" spans="1:8" s="61" customFormat="1" ht="24.9" customHeight="1">
      <c r="A63" s="26" t="s">
        <v>564</v>
      </c>
      <c r="B63" s="27" t="s">
        <v>389</v>
      </c>
      <c r="C63" s="64">
        <v>11</v>
      </c>
      <c r="D63" s="64">
        <v>1101.60184</v>
      </c>
      <c r="E63" s="64">
        <v>198</v>
      </c>
      <c r="F63" s="64"/>
      <c r="G63" s="64">
        <f t="shared" si="5"/>
        <v>1299.60184</v>
      </c>
      <c r="H63" s="64"/>
    </row>
    <row r="64" spans="1:8" s="61" customFormat="1" ht="24.9" customHeight="1">
      <c r="A64" s="26" t="s">
        <v>566</v>
      </c>
      <c r="B64" s="27" t="s">
        <v>390</v>
      </c>
      <c r="C64" s="64">
        <v>8</v>
      </c>
      <c r="D64" s="64">
        <v>842.73099999999999</v>
      </c>
      <c r="E64" s="64">
        <v>144</v>
      </c>
      <c r="F64" s="64"/>
      <c r="G64" s="64">
        <f t="shared" si="5"/>
        <v>986.73099999999999</v>
      </c>
      <c r="H64" s="64">
        <v>50</v>
      </c>
    </row>
    <row r="65" spans="1:8" s="61" customFormat="1" ht="24.9" customHeight="1">
      <c r="A65" s="26" t="s">
        <v>568</v>
      </c>
      <c r="B65" s="27" t="s">
        <v>391</v>
      </c>
      <c r="C65" s="64">
        <v>0</v>
      </c>
      <c r="D65" s="64">
        <v>3500</v>
      </c>
      <c r="E65" s="64">
        <v>0</v>
      </c>
      <c r="F65" s="64">
        <v>0</v>
      </c>
      <c r="G65" s="64">
        <f t="shared" si="5"/>
        <v>3500</v>
      </c>
      <c r="H65" s="64">
        <v>0</v>
      </c>
    </row>
    <row r="66" spans="1:8" s="66" customFormat="1" ht="24.9" customHeight="1">
      <c r="A66" s="28"/>
      <c r="B66" s="29" t="s">
        <v>392</v>
      </c>
      <c r="C66" s="65"/>
      <c r="D66" s="65">
        <v>1000</v>
      </c>
      <c r="E66" s="65">
        <v>0</v>
      </c>
      <c r="F66" s="65"/>
      <c r="G66" s="65">
        <f t="shared" si="5"/>
        <v>1000</v>
      </c>
      <c r="H66" s="65"/>
    </row>
    <row r="67" spans="1:8" s="66" customFormat="1" ht="24.9" customHeight="1">
      <c r="A67" s="28"/>
      <c r="B67" s="29" t="s">
        <v>393</v>
      </c>
      <c r="C67" s="65"/>
      <c r="D67" s="65">
        <v>2500</v>
      </c>
      <c r="E67" s="65">
        <v>0</v>
      </c>
      <c r="F67" s="65"/>
      <c r="G67" s="65">
        <f t="shared" si="5"/>
        <v>2500</v>
      </c>
      <c r="H67" s="65"/>
    </row>
    <row r="68" spans="1:8" s="61" customFormat="1" ht="24.9" customHeight="1">
      <c r="A68" s="26">
        <v>48</v>
      </c>
      <c r="B68" s="27" t="s">
        <v>394</v>
      </c>
      <c r="C68" s="64"/>
      <c r="D68" s="64">
        <v>5000</v>
      </c>
      <c r="E68" s="64">
        <v>0</v>
      </c>
      <c r="F68" s="64"/>
      <c r="G68" s="64">
        <f t="shared" si="5"/>
        <v>5000</v>
      </c>
      <c r="H68" s="64"/>
    </row>
    <row r="69" spans="1:8" s="61" customFormat="1" ht="24.9" customHeight="1">
      <c r="A69" s="26" t="s">
        <v>571</v>
      </c>
      <c r="B69" s="27" t="s">
        <v>395</v>
      </c>
      <c r="C69" s="64"/>
      <c r="D69" s="64">
        <v>857.32500000000005</v>
      </c>
      <c r="E69" s="64">
        <v>0</v>
      </c>
      <c r="F69" s="64"/>
      <c r="G69" s="64">
        <f t="shared" si="5"/>
        <v>857.32500000000005</v>
      </c>
      <c r="H69" s="64"/>
    </row>
    <row r="70" spans="1:8" s="68" customFormat="1" ht="24.9" customHeight="1">
      <c r="A70" s="30" t="s">
        <v>60</v>
      </c>
      <c r="B70" s="62" t="s">
        <v>396</v>
      </c>
      <c r="C70" s="57">
        <f t="shared" ref="C70:H70" si="6">SUM(C71:C109)</f>
        <v>231</v>
      </c>
      <c r="D70" s="57">
        <f t="shared" si="6"/>
        <v>34054.708120333336</v>
      </c>
      <c r="E70" s="57">
        <f t="shared" si="6"/>
        <v>4158</v>
      </c>
      <c r="F70" s="57">
        <f t="shared" si="6"/>
        <v>0</v>
      </c>
      <c r="G70" s="57">
        <f t="shared" si="6"/>
        <v>38212.708120333344</v>
      </c>
      <c r="H70" s="57">
        <f t="shared" si="6"/>
        <v>8150</v>
      </c>
    </row>
    <row r="71" spans="1:8" s="61" customFormat="1" ht="24.9" customHeight="1">
      <c r="A71" s="26">
        <v>1</v>
      </c>
      <c r="B71" s="27" t="s">
        <v>397</v>
      </c>
      <c r="C71" s="64">
        <v>6</v>
      </c>
      <c r="D71" s="64">
        <v>511.42259199999995</v>
      </c>
      <c r="E71" s="64">
        <v>108</v>
      </c>
      <c r="F71" s="64"/>
      <c r="G71" s="64">
        <f t="shared" ref="G71:G109" si="7">D71+E71+F71</f>
        <v>619.4225919999999</v>
      </c>
      <c r="H71" s="64">
        <v>250</v>
      </c>
    </row>
    <row r="72" spans="1:8" s="61" customFormat="1" ht="24.9" customHeight="1">
      <c r="A72" s="26">
        <v>2</v>
      </c>
      <c r="B72" s="27" t="s">
        <v>398</v>
      </c>
      <c r="C72" s="64">
        <v>5</v>
      </c>
      <c r="D72" s="64">
        <v>557.61388000000011</v>
      </c>
      <c r="E72" s="64">
        <v>90</v>
      </c>
      <c r="F72" s="64"/>
      <c r="G72" s="64">
        <f t="shared" si="7"/>
        <v>647.61388000000011</v>
      </c>
      <c r="H72" s="64">
        <v>250</v>
      </c>
    </row>
    <row r="73" spans="1:8" s="61" customFormat="1" ht="24.9" customHeight="1">
      <c r="A73" s="26">
        <v>3</v>
      </c>
      <c r="B73" s="27" t="s">
        <v>399</v>
      </c>
      <c r="C73" s="64">
        <v>12</v>
      </c>
      <c r="D73" s="64">
        <v>915.9862720000001</v>
      </c>
      <c r="E73" s="64">
        <v>216</v>
      </c>
      <c r="F73" s="64"/>
      <c r="G73" s="64">
        <f t="shared" si="7"/>
        <v>1131.9862720000001</v>
      </c>
      <c r="H73" s="64"/>
    </row>
    <row r="74" spans="1:8" s="61" customFormat="1" ht="24.9" customHeight="1">
      <c r="A74" s="26">
        <v>4</v>
      </c>
      <c r="B74" s="27" t="s">
        <v>400</v>
      </c>
      <c r="C74" s="64">
        <v>10</v>
      </c>
      <c r="D74" s="64">
        <v>1460.7009</v>
      </c>
      <c r="E74" s="64">
        <v>180</v>
      </c>
      <c r="F74" s="64"/>
      <c r="G74" s="64">
        <f t="shared" si="7"/>
        <v>1640.7009</v>
      </c>
      <c r="H74" s="64">
        <v>700</v>
      </c>
    </row>
    <row r="75" spans="1:8" s="61" customFormat="1" ht="24.9" customHeight="1">
      <c r="A75" s="26">
        <v>5</v>
      </c>
      <c r="B75" s="27" t="s">
        <v>401</v>
      </c>
      <c r="C75" s="64">
        <v>4</v>
      </c>
      <c r="D75" s="64">
        <v>334.20746000000003</v>
      </c>
      <c r="E75" s="64">
        <v>72</v>
      </c>
      <c r="F75" s="64"/>
      <c r="G75" s="64">
        <f t="shared" si="7"/>
        <v>406.20746000000003</v>
      </c>
      <c r="H75" s="64"/>
    </row>
    <row r="76" spans="1:8" s="61" customFormat="1" ht="24.9" customHeight="1">
      <c r="A76" s="26">
        <v>6</v>
      </c>
      <c r="B76" s="27" t="s">
        <v>402</v>
      </c>
      <c r="C76" s="64">
        <v>4</v>
      </c>
      <c r="D76" s="64">
        <v>561.08317999999997</v>
      </c>
      <c r="E76" s="64">
        <v>72</v>
      </c>
      <c r="F76" s="64"/>
      <c r="G76" s="64">
        <f t="shared" si="7"/>
        <v>633.08317999999997</v>
      </c>
      <c r="H76" s="64">
        <v>750</v>
      </c>
    </row>
    <row r="77" spans="1:8" s="61" customFormat="1" ht="24.9" customHeight="1">
      <c r="A77" s="26">
        <v>7</v>
      </c>
      <c r="B77" s="27" t="s">
        <v>403</v>
      </c>
      <c r="C77" s="64">
        <v>17</v>
      </c>
      <c r="D77" s="64">
        <v>4917.4271440000002</v>
      </c>
      <c r="E77" s="64">
        <v>306</v>
      </c>
      <c r="F77" s="64"/>
      <c r="G77" s="64">
        <f t="shared" si="7"/>
        <v>5223.4271440000002</v>
      </c>
      <c r="H77" s="64">
        <v>2500</v>
      </c>
    </row>
    <row r="78" spans="1:8" s="61" customFormat="1" ht="24.9" customHeight="1">
      <c r="A78" s="26">
        <v>8</v>
      </c>
      <c r="B78" s="27" t="s">
        <v>404</v>
      </c>
      <c r="C78" s="64">
        <v>12</v>
      </c>
      <c r="D78" s="64">
        <v>1119.6246399999998</v>
      </c>
      <c r="E78" s="64">
        <v>216</v>
      </c>
      <c r="F78" s="64"/>
      <c r="G78" s="64">
        <f t="shared" si="7"/>
        <v>1335.6246399999998</v>
      </c>
      <c r="H78" s="64">
        <v>2500</v>
      </c>
    </row>
    <row r="79" spans="1:8" s="61" customFormat="1" ht="24.9" customHeight="1">
      <c r="A79" s="26">
        <v>9</v>
      </c>
      <c r="B79" s="27" t="s">
        <v>405</v>
      </c>
      <c r="C79" s="64">
        <v>13</v>
      </c>
      <c r="D79" s="64">
        <v>1410.3032000000001</v>
      </c>
      <c r="E79" s="64">
        <v>234</v>
      </c>
      <c r="F79" s="64"/>
      <c r="G79" s="64">
        <f t="shared" si="7"/>
        <v>1644.3032000000001</v>
      </c>
      <c r="H79" s="64"/>
    </row>
    <row r="80" spans="1:8" s="61" customFormat="1" ht="24.9" customHeight="1">
      <c r="A80" s="26">
        <v>10</v>
      </c>
      <c r="B80" s="27" t="s">
        <v>676</v>
      </c>
      <c r="C80" s="64">
        <v>14</v>
      </c>
      <c r="D80" s="64">
        <v>1428.9571040000001</v>
      </c>
      <c r="E80" s="64">
        <v>252</v>
      </c>
      <c r="F80" s="64"/>
      <c r="G80" s="64">
        <f t="shared" si="7"/>
        <v>1680.9571040000001</v>
      </c>
      <c r="H80" s="64">
        <v>1200</v>
      </c>
    </row>
    <row r="81" spans="1:8" s="61" customFormat="1" ht="24.9" customHeight="1">
      <c r="A81" s="26">
        <v>11</v>
      </c>
      <c r="B81" s="27" t="s">
        <v>406</v>
      </c>
      <c r="C81" s="64">
        <v>11</v>
      </c>
      <c r="D81" s="64">
        <v>1102.6109733333333</v>
      </c>
      <c r="E81" s="64">
        <v>198</v>
      </c>
      <c r="F81" s="64"/>
      <c r="G81" s="64">
        <f t="shared" si="7"/>
        <v>1300.6109733333333</v>
      </c>
      <c r="H81" s="64"/>
    </row>
    <row r="82" spans="1:8" s="61" customFormat="1" ht="24.9" customHeight="1">
      <c r="A82" s="26">
        <v>12</v>
      </c>
      <c r="B82" s="27" t="s">
        <v>407</v>
      </c>
      <c r="C82" s="64">
        <v>6</v>
      </c>
      <c r="D82" s="64">
        <v>516.38242000000002</v>
      </c>
      <c r="E82" s="64">
        <v>108</v>
      </c>
      <c r="F82" s="64"/>
      <c r="G82" s="64">
        <f t="shared" si="7"/>
        <v>624.38242000000002</v>
      </c>
      <c r="H82" s="64"/>
    </row>
    <row r="83" spans="1:8" s="61" customFormat="1" ht="24.9" customHeight="1">
      <c r="A83" s="26">
        <v>13</v>
      </c>
      <c r="B83" s="27" t="s">
        <v>408</v>
      </c>
      <c r="C83" s="64">
        <v>9</v>
      </c>
      <c r="D83" s="64">
        <v>1026.6349</v>
      </c>
      <c r="E83" s="64">
        <v>162</v>
      </c>
      <c r="F83" s="64"/>
      <c r="G83" s="64">
        <f t="shared" si="7"/>
        <v>1188.6349</v>
      </c>
      <c r="H83" s="64"/>
    </row>
    <row r="84" spans="1:8" s="61" customFormat="1" ht="24.9" customHeight="1">
      <c r="A84" s="26">
        <v>14</v>
      </c>
      <c r="B84" s="27" t="s">
        <v>409</v>
      </c>
      <c r="C84" s="64">
        <v>12</v>
      </c>
      <c r="D84" s="64">
        <v>833.51899999999989</v>
      </c>
      <c r="E84" s="64">
        <v>216</v>
      </c>
      <c r="F84" s="64"/>
      <c r="G84" s="64">
        <f t="shared" si="7"/>
        <v>1049.5189999999998</v>
      </c>
      <c r="H84" s="64"/>
    </row>
    <row r="85" spans="1:8" s="61" customFormat="1" ht="24.9" customHeight="1">
      <c r="A85" s="26">
        <v>15</v>
      </c>
      <c r="B85" s="27" t="s">
        <v>410</v>
      </c>
      <c r="C85" s="64">
        <v>5</v>
      </c>
      <c r="D85" s="64">
        <v>872.28505000000007</v>
      </c>
      <c r="E85" s="64">
        <v>90</v>
      </c>
      <c r="F85" s="64"/>
      <c r="G85" s="64">
        <f t="shared" si="7"/>
        <v>962.28505000000007</v>
      </c>
      <c r="H85" s="64"/>
    </row>
    <row r="86" spans="1:8" s="61" customFormat="1" ht="24.9" customHeight="1">
      <c r="A86" s="26">
        <v>16</v>
      </c>
      <c r="B86" s="27" t="s">
        <v>411</v>
      </c>
      <c r="C86" s="64">
        <v>12</v>
      </c>
      <c r="D86" s="64">
        <v>1567.4839999999999</v>
      </c>
      <c r="E86" s="64">
        <v>216</v>
      </c>
      <c r="F86" s="64"/>
      <c r="G86" s="64">
        <f t="shared" si="7"/>
        <v>1783.4839999999999</v>
      </c>
      <c r="H86" s="64"/>
    </row>
    <row r="87" spans="1:8" s="61" customFormat="1" ht="24.9" customHeight="1">
      <c r="A87" s="26">
        <v>17</v>
      </c>
      <c r="B87" s="27" t="s">
        <v>412</v>
      </c>
      <c r="C87" s="64">
        <v>3</v>
      </c>
      <c r="D87" s="64">
        <v>324.74919999999997</v>
      </c>
      <c r="E87" s="64">
        <v>54</v>
      </c>
      <c r="F87" s="64"/>
      <c r="G87" s="64">
        <f t="shared" si="7"/>
        <v>378.74919999999997</v>
      </c>
      <c r="H87" s="64"/>
    </row>
    <row r="88" spans="1:8" s="61" customFormat="1" ht="24.9" customHeight="1">
      <c r="A88" s="26">
        <v>18</v>
      </c>
      <c r="B88" s="27" t="s">
        <v>413</v>
      </c>
      <c r="C88" s="64"/>
      <c r="D88" s="64">
        <v>399.375</v>
      </c>
      <c r="E88" s="64">
        <v>0</v>
      </c>
      <c r="F88" s="64"/>
      <c r="G88" s="64">
        <f t="shared" si="7"/>
        <v>399.375</v>
      </c>
      <c r="H88" s="64"/>
    </row>
    <row r="89" spans="1:8" s="61" customFormat="1" ht="24.9" customHeight="1">
      <c r="A89" s="26">
        <v>19</v>
      </c>
      <c r="B89" s="27" t="s">
        <v>414</v>
      </c>
      <c r="C89" s="64">
        <v>13</v>
      </c>
      <c r="D89" s="64">
        <v>1113.501</v>
      </c>
      <c r="E89" s="64">
        <v>234</v>
      </c>
      <c r="F89" s="64"/>
      <c r="G89" s="64">
        <f t="shared" si="7"/>
        <v>1347.501</v>
      </c>
      <c r="H89" s="64"/>
    </row>
    <row r="90" spans="1:8" s="61" customFormat="1" ht="24.9" customHeight="1">
      <c r="A90" s="26">
        <v>20</v>
      </c>
      <c r="B90" s="27" t="s">
        <v>415</v>
      </c>
      <c r="C90" s="64"/>
      <c r="D90" s="64">
        <v>489.9</v>
      </c>
      <c r="E90" s="64">
        <v>0</v>
      </c>
      <c r="F90" s="64"/>
      <c r="G90" s="64">
        <f t="shared" si="7"/>
        <v>489.9</v>
      </c>
      <c r="H90" s="64"/>
    </row>
    <row r="91" spans="1:8" s="61" customFormat="1" ht="24.9" customHeight="1">
      <c r="A91" s="26">
        <v>21</v>
      </c>
      <c r="B91" s="27" t="s">
        <v>416</v>
      </c>
      <c r="C91" s="64">
        <v>5</v>
      </c>
      <c r="D91" s="64">
        <v>398.90000000000003</v>
      </c>
      <c r="E91" s="64">
        <v>90</v>
      </c>
      <c r="F91" s="64"/>
      <c r="G91" s="64">
        <f t="shared" si="7"/>
        <v>488.90000000000003</v>
      </c>
      <c r="H91" s="64"/>
    </row>
    <row r="92" spans="1:8" s="61" customFormat="1" ht="24.9" customHeight="1">
      <c r="A92" s="26">
        <v>22</v>
      </c>
      <c r="B92" s="27" t="s">
        <v>677</v>
      </c>
      <c r="C92" s="64">
        <v>2</v>
      </c>
      <c r="D92" s="64">
        <v>145.66400000000002</v>
      </c>
      <c r="E92" s="64">
        <v>36</v>
      </c>
      <c r="F92" s="64"/>
      <c r="G92" s="64">
        <f t="shared" si="7"/>
        <v>181.66400000000002</v>
      </c>
      <c r="H92" s="64"/>
    </row>
    <row r="93" spans="1:8" s="61" customFormat="1" ht="24.9" customHeight="1">
      <c r="A93" s="26">
        <v>23</v>
      </c>
      <c r="B93" s="27" t="s">
        <v>417</v>
      </c>
      <c r="C93" s="64">
        <v>1</v>
      </c>
      <c r="D93" s="64">
        <v>151.25200000000001</v>
      </c>
      <c r="E93" s="64">
        <v>18</v>
      </c>
      <c r="F93" s="64"/>
      <c r="G93" s="64">
        <f t="shared" si="7"/>
        <v>169.25200000000001</v>
      </c>
      <c r="H93" s="64"/>
    </row>
    <row r="94" spans="1:8" s="61" customFormat="1" ht="24.9" customHeight="1">
      <c r="A94" s="26">
        <v>24</v>
      </c>
      <c r="B94" s="27" t="s">
        <v>418</v>
      </c>
      <c r="C94" s="64"/>
      <c r="D94" s="64">
        <v>86.265000000000001</v>
      </c>
      <c r="E94" s="64">
        <v>0</v>
      </c>
      <c r="F94" s="64"/>
      <c r="G94" s="64">
        <f t="shared" si="7"/>
        <v>86.265000000000001</v>
      </c>
      <c r="H94" s="64"/>
    </row>
    <row r="95" spans="1:8" s="61" customFormat="1" ht="24.9" customHeight="1">
      <c r="A95" s="26">
        <v>25</v>
      </c>
      <c r="B95" s="27" t="s">
        <v>419</v>
      </c>
      <c r="C95" s="64"/>
      <c r="D95" s="64">
        <v>159.75</v>
      </c>
      <c r="E95" s="64">
        <v>0</v>
      </c>
      <c r="F95" s="64"/>
      <c r="G95" s="64">
        <f t="shared" si="7"/>
        <v>159.75</v>
      </c>
      <c r="H95" s="64"/>
    </row>
    <row r="96" spans="1:8" s="61" customFormat="1" ht="24.9" customHeight="1">
      <c r="A96" s="26">
        <v>26</v>
      </c>
      <c r="B96" s="27" t="s">
        <v>420</v>
      </c>
      <c r="C96" s="64"/>
      <c r="D96" s="64">
        <v>87.33</v>
      </c>
      <c r="E96" s="64">
        <v>0</v>
      </c>
      <c r="F96" s="64"/>
      <c r="G96" s="64">
        <f t="shared" si="7"/>
        <v>87.33</v>
      </c>
      <c r="H96" s="64"/>
    </row>
    <row r="97" spans="1:8" s="61" customFormat="1" ht="24.9" customHeight="1">
      <c r="A97" s="26">
        <v>27</v>
      </c>
      <c r="B97" s="27" t="s">
        <v>421</v>
      </c>
      <c r="C97" s="64"/>
      <c r="D97" s="64">
        <v>106.5</v>
      </c>
      <c r="E97" s="64">
        <v>0</v>
      </c>
      <c r="F97" s="64"/>
      <c r="G97" s="64">
        <f t="shared" si="7"/>
        <v>106.5</v>
      </c>
      <c r="H97" s="64"/>
    </row>
    <row r="98" spans="1:8" s="61" customFormat="1" ht="24.9" customHeight="1">
      <c r="A98" s="26">
        <v>28</v>
      </c>
      <c r="B98" s="27" t="s">
        <v>422</v>
      </c>
      <c r="C98" s="64"/>
      <c r="D98" s="64">
        <v>106.5</v>
      </c>
      <c r="E98" s="64">
        <v>0</v>
      </c>
      <c r="F98" s="64"/>
      <c r="G98" s="64">
        <f t="shared" si="7"/>
        <v>106.5</v>
      </c>
      <c r="H98" s="64"/>
    </row>
    <row r="99" spans="1:8" s="61" customFormat="1" ht="24.9" customHeight="1">
      <c r="A99" s="26">
        <v>29</v>
      </c>
      <c r="B99" s="27" t="s">
        <v>423</v>
      </c>
      <c r="C99" s="64"/>
      <c r="D99" s="64">
        <v>375.94499999999999</v>
      </c>
      <c r="E99" s="64">
        <v>0</v>
      </c>
      <c r="F99" s="64"/>
      <c r="G99" s="64">
        <f t="shared" si="7"/>
        <v>375.94499999999999</v>
      </c>
      <c r="H99" s="64"/>
    </row>
    <row r="100" spans="1:8" s="61" customFormat="1" ht="24.9" customHeight="1">
      <c r="A100" s="26">
        <v>30</v>
      </c>
      <c r="B100" s="27" t="s">
        <v>424</v>
      </c>
      <c r="C100" s="64"/>
      <c r="D100" s="64">
        <v>138.44999999999999</v>
      </c>
      <c r="E100" s="64">
        <v>0</v>
      </c>
      <c r="F100" s="64"/>
      <c r="G100" s="64">
        <f t="shared" si="7"/>
        <v>138.44999999999999</v>
      </c>
      <c r="H100" s="64"/>
    </row>
    <row r="101" spans="1:8" s="61" customFormat="1" ht="24.9" customHeight="1">
      <c r="A101" s="26">
        <v>31</v>
      </c>
      <c r="B101" s="27" t="s">
        <v>425</v>
      </c>
      <c r="C101" s="64">
        <v>5</v>
      </c>
      <c r="D101" s="64">
        <v>1118.7803249999999</v>
      </c>
      <c r="E101" s="64">
        <v>90</v>
      </c>
      <c r="F101" s="64"/>
      <c r="G101" s="64">
        <f t="shared" si="7"/>
        <v>1208.7803249999999</v>
      </c>
      <c r="H101" s="64"/>
    </row>
    <row r="102" spans="1:8" s="61" customFormat="1" ht="24.9" customHeight="1">
      <c r="A102" s="26">
        <v>32</v>
      </c>
      <c r="B102" s="27" t="s">
        <v>426</v>
      </c>
      <c r="C102" s="64">
        <v>10</v>
      </c>
      <c r="D102" s="64">
        <v>884.85260000000005</v>
      </c>
      <c r="E102" s="64">
        <v>180</v>
      </c>
      <c r="F102" s="64"/>
      <c r="G102" s="64">
        <f t="shared" si="7"/>
        <v>1064.8526000000002</v>
      </c>
      <c r="H102" s="64"/>
    </row>
    <row r="103" spans="1:8" s="61" customFormat="1" ht="24.9" customHeight="1">
      <c r="A103" s="26">
        <v>33</v>
      </c>
      <c r="B103" s="27" t="s">
        <v>427</v>
      </c>
      <c r="C103" s="64">
        <v>15</v>
      </c>
      <c r="D103" s="64">
        <v>1764.5136399999999</v>
      </c>
      <c r="E103" s="64">
        <v>270</v>
      </c>
      <c r="F103" s="64"/>
      <c r="G103" s="64">
        <f t="shared" si="7"/>
        <v>2034.5136399999999</v>
      </c>
      <c r="H103" s="64"/>
    </row>
    <row r="104" spans="1:8" s="61" customFormat="1" ht="24.9" customHeight="1">
      <c r="A104" s="26">
        <v>34</v>
      </c>
      <c r="B104" s="27" t="s">
        <v>428</v>
      </c>
      <c r="C104" s="64">
        <v>2</v>
      </c>
      <c r="D104" s="64">
        <v>218.39664000000002</v>
      </c>
      <c r="E104" s="64">
        <v>36</v>
      </c>
      <c r="F104" s="64"/>
      <c r="G104" s="64">
        <f t="shared" si="7"/>
        <v>254.39664000000002</v>
      </c>
      <c r="H104" s="64"/>
    </row>
    <row r="105" spans="1:8" s="61" customFormat="1" ht="24.9" customHeight="1">
      <c r="A105" s="26">
        <v>35</v>
      </c>
      <c r="B105" s="27" t="s">
        <v>429</v>
      </c>
      <c r="C105" s="64">
        <v>8</v>
      </c>
      <c r="D105" s="64">
        <v>435.64099999999996</v>
      </c>
      <c r="E105" s="64">
        <v>144</v>
      </c>
      <c r="F105" s="64"/>
      <c r="G105" s="64">
        <f t="shared" si="7"/>
        <v>579.64099999999996</v>
      </c>
      <c r="H105" s="64"/>
    </row>
    <row r="106" spans="1:8" s="61" customFormat="1" ht="24.9" customHeight="1">
      <c r="A106" s="26">
        <v>36</v>
      </c>
      <c r="B106" s="27" t="s">
        <v>430</v>
      </c>
      <c r="C106" s="64">
        <v>4</v>
      </c>
      <c r="D106" s="64">
        <v>351.62800000000004</v>
      </c>
      <c r="E106" s="64">
        <v>72</v>
      </c>
      <c r="F106" s="64"/>
      <c r="G106" s="64">
        <f t="shared" si="7"/>
        <v>423.62800000000004</v>
      </c>
      <c r="H106" s="64"/>
    </row>
    <row r="107" spans="1:8" s="61" customFormat="1" ht="24.9" customHeight="1">
      <c r="A107" s="26">
        <v>37</v>
      </c>
      <c r="B107" s="70" t="s">
        <v>678</v>
      </c>
      <c r="C107" s="64">
        <v>9</v>
      </c>
      <c r="D107" s="64">
        <v>594.46799999999996</v>
      </c>
      <c r="E107" s="64">
        <v>162</v>
      </c>
      <c r="F107" s="64"/>
      <c r="G107" s="64">
        <f t="shared" si="7"/>
        <v>756.46799999999996</v>
      </c>
      <c r="H107" s="64"/>
    </row>
    <row r="108" spans="1:8" s="61" customFormat="1" ht="24.9" customHeight="1">
      <c r="A108" s="26">
        <v>38</v>
      </c>
      <c r="B108" s="70" t="s">
        <v>654</v>
      </c>
      <c r="C108" s="64">
        <v>2</v>
      </c>
      <c r="D108" s="64">
        <v>466.10399999999998</v>
      </c>
      <c r="E108" s="64">
        <v>36</v>
      </c>
      <c r="F108" s="64"/>
      <c r="G108" s="64">
        <f t="shared" si="7"/>
        <v>502.10399999999998</v>
      </c>
      <c r="H108" s="64"/>
    </row>
    <row r="109" spans="1:8" s="61" customFormat="1" ht="36.9" customHeight="1">
      <c r="A109" s="26">
        <v>39</v>
      </c>
      <c r="B109" s="67" t="s">
        <v>431</v>
      </c>
      <c r="C109" s="64"/>
      <c r="D109" s="64">
        <v>5000</v>
      </c>
      <c r="E109" s="64">
        <v>0</v>
      </c>
      <c r="F109" s="64"/>
      <c r="G109" s="64">
        <f t="shared" si="7"/>
        <v>5000</v>
      </c>
      <c r="H109" s="64"/>
    </row>
    <row r="110" spans="1:8" s="68" customFormat="1" ht="24.9" customHeight="1">
      <c r="A110" s="30" t="s">
        <v>206</v>
      </c>
      <c r="B110" s="62" t="s">
        <v>432</v>
      </c>
      <c r="C110" s="57">
        <f t="shared" ref="C110:H110" si="8">SUM(C111:C118)</f>
        <v>106</v>
      </c>
      <c r="D110" s="57">
        <f t="shared" si="8"/>
        <v>17391.750665473686</v>
      </c>
      <c r="E110" s="57">
        <f t="shared" si="8"/>
        <v>2226</v>
      </c>
      <c r="F110" s="57">
        <f t="shared" si="8"/>
        <v>0</v>
      </c>
      <c r="G110" s="57">
        <f t="shared" si="8"/>
        <v>19617.750665473686</v>
      </c>
      <c r="H110" s="57">
        <f t="shared" si="8"/>
        <v>0</v>
      </c>
    </row>
    <row r="111" spans="1:8" s="61" customFormat="1" ht="24.9" customHeight="1">
      <c r="A111" s="26">
        <v>1</v>
      </c>
      <c r="B111" s="27" t="s">
        <v>433</v>
      </c>
      <c r="C111" s="64">
        <v>29</v>
      </c>
      <c r="D111" s="64">
        <v>3909.2417999999993</v>
      </c>
      <c r="E111" s="64">
        <v>609</v>
      </c>
      <c r="F111" s="64"/>
      <c r="G111" s="64">
        <f>D111+E111+F111</f>
        <v>4518.2417999999998</v>
      </c>
      <c r="H111" s="60"/>
    </row>
    <row r="112" spans="1:8" s="61" customFormat="1" ht="24.9" customHeight="1">
      <c r="A112" s="26">
        <v>2</v>
      </c>
      <c r="B112" s="27" t="s">
        <v>434</v>
      </c>
      <c r="C112" s="64">
        <v>22</v>
      </c>
      <c r="D112" s="64">
        <v>2778.0604800000001</v>
      </c>
      <c r="E112" s="64">
        <v>462</v>
      </c>
      <c r="F112" s="64"/>
      <c r="G112" s="64">
        <f t="shared" ref="G112:G118" si="9">D112+E112+F112</f>
        <v>3240.0604800000001</v>
      </c>
      <c r="H112" s="64"/>
    </row>
    <row r="113" spans="1:8" s="61" customFormat="1" ht="24.9" customHeight="1">
      <c r="A113" s="26">
        <v>3</v>
      </c>
      <c r="B113" s="27" t="s">
        <v>435</v>
      </c>
      <c r="C113" s="64">
        <v>21</v>
      </c>
      <c r="D113" s="64">
        <v>3220.8809494736843</v>
      </c>
      <c r="E113" s="64">
        <v>441</v>
      </c>
      <c r="F113" s="64"/>
      <c r="G113" s="64">
        <f t="shared" si="9"/>
        <v>3661.8809494736843</v>
      </c>
      <c r="H113" s="64"/>
    </row>
    <row r="114" spans="1:8" s="61" customFormat="1" ht="24.9" customHeight="1">
      <c r="A114" s="26">
        <v>4</v>
      </c>
      <c r="B114" s="27" t="s">
        <v>436</v>
      </c>
      <c r="C114" s="64">
        <v>12</v>
      </c>
      <c r="D114" s="64">
        <v>1664.4388000000001</v>
      </c>
      <c r="E114" s="64">
        <v>252</v>
      </c>
      <c r="F114" s="64"/>
      <c r="G114" s="64">
        <f t="shared" si="9"/>
        <v>1916.4388000000001</v>
      </c>
      <c r="H114" s="64"/>
    </row>
    <row r="115" spans="1:8" s="61" customFormat="1" ht="24.9" customHeight="1">
      <c r="A115" s="26">
        <v>5</v>
      </c>
      <c r="B115" s="27" t="s">
        <v>437</v>
      </c>
      <c r="C115" s="64">
        <v>22</v>
      </c>
      <c r="D115" s="64">
        <v>4119.1286360000004</v>
      </c>
      <c r="E115" s="64">
        <v>462</v>
      </c>
      <c r="F115" s="64"/>
      <c r="G115" s="64">
        <f t="shared" si="9"/>
        <v>4581.1286360000004</v>
      </c>
      <c r="H115" s="64"/>
    </row>
    <row r="116" spans="1:8" s="61" customFormat="1" ht="24.9" customHeight="1">
      <c r="A116" s="26">
        <v>6</v>
      </c>
      <c r="B116" s="70" t="s">
        <v>679</v>
      </c>
      <c r="C116" s="64"/>
      <c r="D116" s="64">
        <v>400</v>
      </c>
      <c r="E116" s="64"/>
      <c r="F116" s="64"/>
      <c r="G116" s="64">
        <f t="shared" si="9"/>
        <v>400</v>
      </c>
      <c r="H116" s="64"/>
    </row>
    <row r="117" spans="1:8" s="61" customFormat="1" ht="24.9" customHeight="1">
      <c r="A117" s="26">
        <v>7</v>
      </c>
      <c r="B117" s="70" t="s">
        <v>655</v>
      </c>
      <c r="C117" s="64"/>
      <c r="D117" s="64">
        <v>100</v>
      </c>
      <c r="E117" s="64"/>
      <c r="F117" s="64"/>
      <c r="G117" s="64">
        <f t="shared" si="9"/>
        <v>100</v>
      </c>
      <c r="H117" s="64"/>
    </row>
    <row r="118" spans="1:8" s="61" customFormat="1" ht="24.9" customHeight="1">
      <c r="A118" s="26">
        <v>8</v>
      </c>
      <c r="B118" s="70" t="s">
        <v>368</v>
      </c>
      <c r="C118" s="64"/>
      <c r="D118" s="64">
        <v>1200</v>
      </c>
      <c r="E118" s="64"/>
      <c r="F118" s="64"/>
      <c r="G118" s="64">
        <f t="shared" si="9"/>
        <v>1200</v>
      </c>
      <c r="H118" s="64"/>
    </row>
    <row r="119" spans="1:8" s="68" customFormat="1" ht="24.9" customHeight="1">
      <c r="A119" s="30" t="s">
        <v>260</v>
      </c>
      <c r="B119" s="62" t="s">
        <v>438</v>
      </c>
      <c r="C119" s="57">
        <f t="shared" ref="C119:H119" si="10">SUM(C120:C151)</f>
        <v>86</v>
      </c>
      <c r="D119" s="57">
        <f t="shared" si="10"/>
        <v>16266.582369800004</v>
      </c>
      <c r="E119" s="57">
        <f t="shared" si="10"/>
        <v>1462</v>
      </c>
      <c r="F119" s="57">
        <f t="shared" si="10"/>
        <v>0</v>
      </c>
      <c r="G119" s="57">
        <f t="shared" si="10"/>
        <v>17728.582369800002</v>
      </c>
      <c r="H119" s="57">
        <f t="shared" si="10"/>
        <v>0</v>
      </c>
    </row>
    <row r="120" spans="1:8" s="61" customFormat="1" ht="24.9" customHeight="1">
      <c r="A120" s="26">
        <v>1</v>
      </c>
      <c r="B120" s="27" t="s">
        <v>439</v>
      </c>
      <c r="C120" s="64">
        <v>20</v>
      </c>
      <c r="D120" s="64">
        <v>1824.885</v>
      </c>
      <c r="E120" s="64">
        <v>340</v>
      </c>
      <c r="F120" s="64"/>
      <c r="G120" s="64">
        <f t="shared" ref="G120:G151" si="11">D120+E120+F120</f>
        <v>2164.8850000000002</v>
      </c>
      <c r="H120" s="64"/>
    </row>
    <row r="121" spans="1:8" s="61" customFormat="1" ht="24.9" customHeight="1">
      <c r="A121" s="26">
        <v>2</v>
      </c>
      <c r="B121" s="27" t="s">
        <v>440</v>
      </c>
      <c r="C121" s="64">
        <v>2</v>
      </c>
      <c r="D121" s="64">
        <v>331.01900000000001</v>
      </c>
      <c r="E121" s="64">
        <v>34</v>
      </c>
      <c r="F121" s="64"/>
      <c r="G121" s="64">
        <f t="shared" si="11"/>
        <v>365.01900000000001</v>
      </c>
      <c r="H121" s="64"/>
    </row>
    <row r="122" spans="1:8" s="61" customFormat="1" ht="24.9" customHeight="1">
      <c r="A122" s="26">
        <v>3</v>
      </c>
      <c r="B122" s="27" t="s">
        <v>441</v>
      </c>
      <c r="C122" s="64">
        <v>3</v>
      </c>
      <c r="D122" s="64">
        <v>986.37099999999998</v>
      </c>
      <c r="E122" s="64">
        <v>51</v>
      </c>
      <c r="F122" s="64"/>
      <c r="G122" s="64">
        <f t="shared" si="11"/>
        <v>1037.3710000000001</v>
      </c>
      <c r="H122" s="64"/>
    </row>
    <row r="123" spans="1:8" s="61" customFormat="1" ht="24.9" customHeight="1">
      <c r="A123" s="26">
        <v>4</v>
      </c>
      <c r="B123" s="27" t="s">
        <v>442</v>
      </c>
      <c r="C123" s="64">
        <v>2</v>
      </c>
      <c r="D123" s="64">
        <v>451.88400000000001</v>
      </c>
      <c r="E123" s="64">
        <v>34</v>
      </c>
      <c r="F123" s="64"/>
      <c r="G123" s="64">
        <f t="shared" si="11"/>
        <v>485.88400000000001</v>
      </c>
      <c r="H123" s="64"/>
    </row>
    <row r="124" spans="1:8" s="61" customFormat="1" ht="24.9" customHeight="1">
      <c r="A124" s="26">
        <v>5</v>
      </c>
      <c r="B124" s="27" t="s">
        <v>443</v>
      </c>
      <c r="C124" s="64"/>
      <c r="D124" s="64">
        <v>197.02500000000001</v>
      </c>
      <c r="E124" s="64">
        <v>0</v>
      </c>
      <c r="F124" s="64"/>
      <c r="G124" s="64">
        <f t="shared" si="11"/>
        <v>197.02500000000001</v>
      </c>
      <c r="H124" s="64"/>
    </row>
    <row r="125" spans="1:8" s="61" customFormat="1" ht="24.9" customHeight="1">
      <c r="A125" s="26">
        <v>6</v>
      </c>
      <c r="B125" s="27" t="s">
        <v>444</v>
      </c>
      <c r="C125" s="64"/>
      <c r="D125" s="64">
        <v>197.02500000000001</v>
      </c>
      <c r="E125" s="64">
        <v>0</v>
      </c>
      <c r="F125" s="64"/>
      <c r="G125" s="64">
        <f t="shared" si="11"/>
        <v>197.02500000000001</v>
      </c>
      <c r="H125" s="64"/>
    </row>
    <row r="126" spans="1:8" s="61" customFormat="1" ht="24.9" customHeight="1">
      <c r="A126" s="26">
        <v>7</v>
      </c>
      <c r="B126" s="27" t="s">
        <v>445</v>
      </c>
      <c r="C126" s="64">
        <v>2</v>
      </c>
      <c r="D126" s="64">
        <v>302.58913999999999</v>
      </c>
      <c r="E126" s="64">
        <v>34</v>
      </c>
      <c r="F126" s="64"/>
      <c r="G126" s="64">
        <f t="shared" si="11"/>
        <v>336.58913999999999</v>
      </c>
      <c r="H126" s="64"/>
    </row>
    <row r="127" spans="1:8" s="61" customFormat="1" ht="24.9" customHeight="1">
      <c r="A127" s="26">
        <v>8</v>
      </c>
      <c r="B127" s="27" t="s">
        <v>446</v>
      </c>
      <c r="C127" s="64">
        <v>2</v>
      </c>
      <c r="D127" s="64">
        <v>527.10356000000002</v>
      </c>
      <c r="E127" s="64">
        <v>34</v>
      </c>
      <c r="F127" s="64"/>
      <c r="G127" s="64">
        <f t="shared" si="11"/>
        <v>561.10356000000002</v>
      </c>
      <c r="H127" s="64"/>
    </row>
    <row r="128" spans="1:8" s="61" customFormat="1" ht="24.9" customHeight="1">
      <c r="A128" s="26">
        <v>9</v>
      </c>
      <c r="B128" s="27" t="s">
        <v>447</v>
      </c>
      <c r="C128" s="64"/>
      <c r="D128" s="64">
        <v>135.255</v>
      </c>
      <c r="E128" s="64">
        <v>0</v>
      </c>
      <c r="F128" s="64"/>
      <c r="G128" s="64">
        <f t="shared" si="11"/>
        <v>135.255</v>
      </c>
      <c r="H128" s="64"/>
    </row>
    <row r="129" spans="1:8" s="61" customFormat="1" ht="24.9" customHeight="1">
      <c r="A129" s="26">
        <v>10</v>
      </c>
      <c r="B129" s="70" t="s">
        <v>656</v>
      </c>
      <c r="C129" s="64">
        <v>2</v>
      </c>
      <c r="D129" s="64">
        <v>541.03873999999996</v>
      </c>
      <c r="E129" s="64">
        <v>34</v>
      </c>
      <c r="F129" s="64"/>
      <c r="G129" s="64">
        <f t="shared" si="11"/>
        <v>575.03873999999996</v>
      </c>
      <c r="H129" s="64"/>
    </row>
    <row r="130" spans="1:8" s="61" customFormat="1" ht="24.9" customHeight="1">
      <c r="A130" s="26">
        <v>11</v>
      </c>
      <c r="B130" s="27" t="s">
        <v>448</v>
      </c>
      <c r="C130" s="64">
        <v>2</v>
      </c>
      <c r="D130" s="64">
        <v>274.92320000000001</v>
      </c>
      <c r="E130" s="64">
        <v>34</v>
      </c>
      <c r="F130" s="64"/>
      <c r="G130" s="64">
        <f t="shared" si="11"/>
        <v>308.92320000000001</v>
      </c>
      <c r="H130" s="64"/>
    </row>
    <row r="131" spans="1:8" s="61" customFormat="1" ht="24.9" customHeight="1">
      <c r="A131" s="26">
        <v>12</v>
      </c>
      <c r="B131" s="27" t="s">
        <v>449</v>
      </c>
      <c r="C131" s="64"/>
      <c r="D131" s="64">
        <v>90.525000000000006</v>
      </c>
      <c r="E131" s="64">
        <v>0</v>
      </c>
      <c r="F131" s="64"/>
      <c r="G131" s="64">
        <f t="shared" si="11"/>
        <v>90.525000000000006</v>
      </c>
      <c r="H131" s="64"/>
    </row>
    <row r="132" spans="1:8" s="61" customFormat="1" ht="24.9" customHeight="1">
      <c r="A132" s="26">
        <v>13</v>
      </c>
      <c r="B132" s="27" t="s">
        <v>450</v>
      </c>
      <c r="C132" s="64"/>
      <c r="D132" s="64">
        <v>105.435</v>
      </c>
      <c r="E132" s="64">
        <v>0</v>
      </c>
      <c r="F132" s="64"/>
      <c r="G132" s="64">
        <f t="shared" si="11"/>
        <v>105.435</v>
      </c>
      <c r="H132" s="64"/>
    </row>
    <row r="133" spans="1:8" s="61" customFormat="1" ht="24.9" customHeight="1">
      <c r="A133" s="26">
        <v>14</v>
      </c>
      <c r="B133" s="27" t="s">
        <v>698</v>
      </c>
      <c r="C133" s="64"/>
      <c r="D133" s="64">
        <v>105.435</v>
      </c>
      <c r="E133" s="64">
        <v>0</v>
      </c>
      <c r="F133" s="64"/>
      <c r="G133" s="64">
        <f t="shared" si="11"/>
        <v>105.435</v>
      </c>
      <c r="H133" s="64"/>
    </row>
    <row r="134" spans="1:8" s="61" customFormat="1" ht="24.9" customHeight="1">
      <c r="A134" s="26">
        <v>15</v>
      </c>
      <c r="B134" s="27" t="s">
        <v>724</v>
      </c>
      <c r="C134" s="64">
        <v>9</v>
      </c>
      <c r="D134" s="64">
        <f>1286.64724+1000</f>
        <v>2286.6472400000002</v>
      </c>
      <c r="E134" s="64">
        <v>153</v>
      </c>
      <c r="F134" s="64"/>
      <c r="G134" s="64">
        <f t="shared" si="11"/>
        <v>2439.6472400000002</v>
      </c>
      <c r="H134" s="64"/>
    </row>
    <row r="135" spans="1:8" s="61" customFormat="1" ht="24.9" customHeight="1">
      <c r="A135" s="26">
        <v>16</v>
      </c>
      <c r="B135" s="27" t="s">
        <v>451</v>
      </c>
      <c r="C135" s="64">
        <v>12</v>
      </c>
      <c r="D135" s="64">
        <v>1557.19208</v>
      </c>
      <c r="E135" s="64">
        <v>204</v>
      </c>
      <c r="F135" s="64"/>
      <c r="G135" s="64">
        <f t="shared" si="11"/>
        <v>1761.19208</v>
      </c>
      <c r="H135" s="64"/>
    </row>
    <row r="136" spans="1:8" s="61" customFormat="1" ht="24.9" customHeight="1">
      <c r="A136" s="26">
        <v>17</v>
      </c>
      <c r="B136" s="27" t="s">
        <v>452</v>
      </c>
      <c r="C136" s="64">
        <v>5</v>
      </c>
      <c r="D136" s="64">
        <v>491.08500000000004</v>
      </c>
      <c r="E136" s="64">
        <v>85</v>
      </c>
      <c r="F136" s="64"/>
      <c r="G136" s="64">
        <f t="shared" si="11"/>
        <v>576.08500000000004</v>
      </c>
      <c r="H136" s="64"/>
    </row>
    <row r="137" spans="1:8" s="61" customFormat="1" ht="24.9" customHeight="1">
      <c r="A137" s="26">
        <v>18</v>
      </c>
      <c r="B137" s="27" t="s">
        <v>453</v>
      </c>
      <c r="C137" s="64"/>
      <c r="D137" s="64">
        <v>167.20500000000001</v>
      </c>
      <c r="E137" s="64">
        <v>0</v>
      </c>
      <c r="F137" s="64"/>
      <c r="G137" s="64">
        <f t="shared" si="11"/>
        <v>167.20500000000001</v>
      </c>
      <c r="H137" s="64"/>
    </row>
    <row r="138" spans="1:8" s="61" customFormat="1" ht="24.9" customHeight="1">
      <c r="A138" s="26">
        <v>19</v>
      </c>
      <c r="B138" s="27" t="s">
        <v>454</v>
      </c>
      <c r="C138" s="64">
        <v>2</v>
      </c>
      <c r="D138" s="64">
        <v>277.79654000000005</v>
      </c>
      <c r="E138" s="64">
        <v>34</v>
      </c>
      <c r="F138" s="64"/>
      <c r="G138" s="64">
        <f t="shared" si="11"/>
        <v>311.79654000000005</v>
      </c>
      <c r="H138" s="64"/>
    </row>
    <row r="139" spans="1:8" s="61" customFormat="1" ht="24.9" customHeight="1">
      <c r="A139" s="26">
        <v>20</v>
      </c>
      <c r="B139" s="27" t="s">
        <v>455</v>
      </c>
      <c r="C139" s="64">
        <v>2</v>
      </c>
      <c r="D139" s="64">
        <v>234.8208698</v>
      </c>
      <c r="E139" s="64">
        <v>34</v>
      </c>
      <c r="F139" s="60"/>
      <c r="G139" s="64">
        <f t="shared" si="11"/>
        <v>268.82086979999997</v>
      </c>
      <c r="H139" s="60"/>
    </row>
    <row r="140" spans="1:8" s="61" customFormat="1" ht="24.9" customHeight="1">
      <c r="A140" s="26">
        <v>21</v>
      </c>
      <c r="B140" s="27" t="s">
        <v>456</v>
      </c>
      <c r="C140" s="64">
        <v>10</v>
      </c>
      <c r="D140" s="64">
        <v>1175.3500000000001</v>
      </c>
      <c r="E140" s="64">
        <v>170</v>
      </c>
      <c r="F140" s="69"/>
      <c r="G140" s="64">
        <f t="shared" si="11"/>
        <v>1345.3500000000001</v>
      </c>
      <c r="H140" s="69"/>
    </row>
    <row r="141" spans="1:8" s="61" customFormat="1" ht="24.9" customHeight="1">
      <c r="A141" s="26">
        <v>22</v>
      </c>
      <c r="B141" s="27" t="s">
        <v>457</v>
      </c>
      <c r="C141" s="64">
        <v>11</v>
      </c>
      <c r="D141" s="64">
        <v>1427.347</v>
      </c>
      <c r="E141" s="64">
        <v>187</v>
      </c>
      <c r="F141" s="64"/>
      <c r="G141" s="64">
        <f t="shared" si="11"/>
        <v>1614.347</v>
      </c>
      <c r="H141" s="64"/>
    </row>
    <row r="142" spans="1:8" s="61" customFormat="1" ht="24.9" customHeight="1">
      <c r="A142" s="26">
        <v>23</v>
      </c>
      <c r="B142" s="27" t="s">
        <v>458</v>
      </c>
      <c r="C142" s="64"/>
      <c r="D142" s="64">
        <v>150.16499999999999</v>
      </c>
      <c r="E142" s="64">
        <v>0</v>
      </c>
      <c r="F142" s="69"/>
      <c r="G142" s="64">
        <f t="shared" si="11"/>
        <v>150.16499999999999</v>
      </c>
      <c r="H142" s="69"/>
    </row>
    <row r="143" spans="1:8" s="61" customFormat="1" ht="24.9" customHeight="1">
      <c r="A143" s="26">
        <v>24</v>
      </c>
      <c r="B143" s="27" t="s">
        <v>459</v>
      </c>
      <c r="C143" s="64"/>
      <c r="D143" s="64">
        <v>150.16499999999999</v>
      </c>
      <c r="E143" s="64">
        <v>0</v>
      </c>
      <c r="F143" s="69"/>
      <c r="G143" s="64">
        <f t="shared" si="11"/>
        <v>150.16499999999999</v>
      </c>
      <c r="H143" s="69"/>
    </row>
    <row r="144" spans="1:8" s="61" customFormat="1" ht="36.9" customHeight="1">
      <c r="A144" s="26">
        <v>25</v>
      </c>
      <c r="B144" s="27" t="s">
        <v>460</v>
      </c>
      <c r="C144" s="64"/>
      <c r="D144" s="64">
        <v>263.05500000000001</v>
      </c>
      <c r="E144" s="64">
        <v>0</v>
      </c>
      <c r="F144" s="69"/>
      <c r="G144" s="64">
        <f t="shared" si="11"/>
        <v>263.05500000000001</v>
      </c>
      <c r="H144" s="69"/>
    </row>
    <row r="145" spans="1:8" s="61" customFormat="1" ht="24.9" customHeight="1">
      <c r="A145" s="26">
        <v>26</v>
      </c>
      <c r="B145" s="27" t="s">
        <v>461</v>
      </c>
      <c r="C145" s="64"/>
      <c r="D145" s="64">
        <v>197.02500000000001</v>
      </c>
      <c r="E145" s="64">
        <v>0</v>
      </c>
      <c r="F145" s="69"/>
      <c r="G145" s="64">
        <f t="shared" si="11"/>
        <v>197.02500000000001</v>
      </c>
      <c r="H145" s="69"/>
    </row>
    <row r="146" spans="1:8" s="61" customFormat="1" ht="24.9" customHeight="1">
      <c r="A146" s="26">
        <v>27</v>
      </c>
      <c r="B146" s="27" t="s">
        <v>462</v>
      </c>
      <c r="C146" s="64"/>
      <c r="D146" s="64">
        <v>118.215</v>
      </c>
      <c r="E146" s="64">
        <v>0</v>
      </c>
      <c r="F146" s="69"/>
      <c r="G146" s="64">
        <f t="shared" si="11"/>
        <v>118.215</v>
      </c>
      <c r="H146" s="69"/>
    </row>
    <row r="147" spans="1:8" s="61" customFormat="1" ht="24.9" customHeight="1">
      <c r="A147" s="26">
        <v>28</v>
      </c>
      <c r="B147" s="70" t="s">
        <v>657</v>
      </c>
      <c r="C147" s="64"/>
      <c r="D147" s="64">
        <v>300</v>
      </c>
      <c r="E147" s="64">
        <v>0</v>
      </c>
      <c r="F147" s="69"/>
      <c r="G147" s="64">
        <f t="shared" si="11"/>
        <v>300</v>
      </c>
      <c r="H147" s="69"/>
    </row>
    <row r="148" spans="1:8" s="61" customFormat="1" ht="24.9" customHeight="1">
      <c r="A148" s="26">
        <v>29</v>
      </c>
      <c r="B148" s="70" t="s">
        <v>699</v>
      </c>
      <c r="C148" s="64"/>
      <c r="D148" s="64">
        <v>100</v>
      </c>
      <c r="E148" s="64">
        <v>0</v>
      </c>
      <c r="F148" s="69"/>
      <c r="G148" s="64">
        <f t="shared" si="11"/>
        <v>100</v>
      </c>
      <c r="H148" s="69"/>
    </row>
    <row r="149" spans="1:8" s="61" customFormat="1" ht="24.9" customHeight="1">
      <c r="A149" s="26">
        <v>30</v>
      </c>
      <c r="B149" s="70" t="s">
        <v>658</v>
      </c>
      <c r="C149" s="64"/>
      <c r="D149" s="64">
        <v>100</v>
      </c>
      <c r="E149" s="64">
        <v>0</v>
      </c>
      <c r="F149" s="69"/>
      <c r="G149" s="64">
        <f t="shared" si="11"/>
        <v>100</v>
      </c>
      <c r="H149" s="69"/>
    </row>
    <row r="150" spans="1:8" s="61" customFormat="1" ht="24.9" customHeight="1">
      <c r="A150" s="26">
        <v>31</v>
      </c>
      <c r="B150" s="70" t="s">
        <v>659</v>
      </c>
      <c r="C150" s="64"/>
      <c r="D150" s="64">
        <v>200</v>
      </c>
      <c r="E150" s="64">
        <v>0</v>
      </c>
      <c r="F150" s="69"/>
      <c r="G150" s="64">
        <f t="shared" si="11"/>
        <v>200</v>
      </c>
      <c r="H150" s="69"/>
    </row>
    <row r="151" spans="1:8" s="61" customFormat="1" ht="24.9" customHeight="1">
      <c r="A151" s="26">
        <v>32</v>
      </c>
      <c r="B151" s="27" t="s">
        <v>463</v>
      </c>
      <c r="C151" s="64"/>
      <c r="D151" s="64">
        <f>2000-1000</f>
        <v>1000</v>
      </c>
      <c r="E151" s="64">
        <v>0</v>
      </c>
      <c r="F151" s="69"/>
      <c r="G151" s="64">
        <f t="shared" si="11"/>
        <v>1000</v>
      </c>
      <c r="H151" s="69"/>
    </row>
    <row r="152" spans="1:8" s="68" customFormat="1" ht="24.9" customHeight="1">
      <c r="A152" s="30" t="s">
        <v>262</v>
      </c>
      <c r="B152" s="62" t="s">
        <v>464</v>
      </c>
      <c r="C152" s="57">
        <f t="shared" ref="C152:H152" si="12">SUM(C153:C159,C162:C167,C172:C175)</f>
        <v>115</v>
      </c>
      <c r="D152" s="57">
        <f t="shared" si="12"/>
        <v>24126.751830242156</v>
      </c>
      <c r="E152" s="57">
        <f t="shared" si="12"/>
        <v>2070</v>
      </c>
      <c r="F152" s="57">
        <f t="shared" si="12"/>
        <v>0</v>
      </c>
      <c r="G152" s="57">
        <f t="shared" si="12"/>
        <v>26196.751830242159</v>
      </c>
      <c r="H152" s="57">
        <f t="shared" si="12"/>
        <v>0</v>
      </c>
    </row>
    <row r="153" spans="1:8" s="61" customFormat="1" ht="24.9" customHeight="1">
      <c r="A153" s="26">
        <v>1</v>
      </c>
      <c r="B153" s="27" t="s">
        <v>465</v>
      </c>
      <c r="C153" s="64">
        <v>40</v>
      </c>
      <c r="D153" s="64">
        <v>4361.321264864865</v>
      </c>
      <c r="E153" s="64">
        <v>720</v>
      </c>
      <c r="F153" s="64"/>
      <c r="G153" s="64">
        <f t="shared" ref="G153:G175" si="13">D153+E153+F153</f>
        <v>5081.321264864865</v>
      </c>
      <c r="H153" s="65"/>
    </row>
    <row r="154" spans="1:8" s="61" customFormat="1" ht="24.9" customHeight="1">
      <c r="A154" s="26">
        <v>2</v>
      </c>
      <c r="B154" s="27" t="s">
        <v>466</v>
      </c>
      <c r="C154" s="64">
        <v>22</v>
      </c>
      <c r="D154" s="64">
        <v>2831.7044514285717</v>
      </c>
      <c r="E154" s="64">
        <v>396</v>
      </c>
      <c r="F154" s="64"/>
      <c r="G154" s="64">
        <f t="shared" si="13"/>
        <v>3227.7044514285717</v>
      </c>
      <c r="H154" s="64"/>
    </row>
    <row r="155" spans="1:8" s="61" customFormat="1" ht="24.9" customHeight="1">
      <c r="A155" s="26">
        <v>3</v>
      </c>
      <c r="B155" s="27" t="s">
        <v>467</v>
      </c>
      <c r="C155" s="64">
        <v>28</v>
      </c>
      <c r="D155" s="64">
        <v>2384.3286406153848</v>
      </c>
      <c r="E155" s="64">
        <v>504</v>
      </c>
      <c r="F155" s="64"/>
      <c r="G155" s="64">
        <f t="shared" si="13"/>
        <v>2888.3286406153848</v>
      </c>
      <c r="H155" s="64"/>
    </row>
    <row r="156" spans="1:8" s="61" customFormat="1" ht="24.9" customHeight="1">
      <c r="A156" s="26">
        <v>4</v>
      </c>
      <c r="B156" s="27" t="s">
        <v>468</v>
      </c>
      <c r="C156" s="64">
        <v>17</v>
      </c>
      <c r="D156" s="64">
        <v>1463.8591733333333</v>
      </c>
      <c r="E156" s="64">
        <v>306</v>
      </c>
      <c r="F156" s="64"/>
      <c r="G156" s="64">
        <f t="shared" si="13"/>
        <v>1769.8591733333333</v>
      </c>
      <c r="H156" s="64"/>
    </row>
    <row r="157" spans="1:8" s="61" customFormat="1" ht="24.9" customHeight="1">
      <c r="A157" s="26">
        <v>5</v>
      </c>
      <c r="B157" s="27" t="s">
        <v>469</v>
      </c>
      <c r="C157" s="64">
        <v>8</v>
      </c>
      <c r="D157" s="64">
        <v>1125.7083</v>
      </c>
      <c r="E157" s="64">
        <v>144</v>
      </c>
      <c r="F157" s="64"/>
      <c r="G157" s="64">
        <f t="shared" si="13"/>
        <v>1269.7083</v>
      </c>
      <c r="H157" s="64"/>
    </row>
    <row r="158" spans="1:8" s="61" customFormat="1" ht="24.9" customHeight="1">
      <c r="A158" s="26">
        <v>6</v>
      </c>
      <c r="B158" s="70" t="s">
        <v>660</v>
      </c>
      <c r="C158" s="64"/>
      <c r="D158" s="64">
        <v>159.75</v>
      </c>
      <c r="E158" s="64">
        <v>0</v>
      </c>
      <c r="F158" s="64"/>
      <c r="G158" s="64">
        <f t="shared" si="13"/>
        <v>159.75</v>
      </c>
      <c r="H158" s="64"/>
    </row>
    <row r="159" spans="1:8" s="61" customFormat="1" ht="24.9" customHeight="1">
      <c r="A159" s="26">
        <v>7</v>
      </c>
      <c r="B159" s="27" t="s">
        <v>470</v>
      </c>
      <c r="C159" s="64"/>
      <c r="D159" s="64">
        <v>3898</v>
      </c>
      <c r="E159" s="64"/>
      <c r="F159" s="64"/>
      <c r="G159" s="64">
        <f t="shared" si="13"/>
        <v>3898</v>
      </c>
      <c r="H159" s="64"/>
    </row>
    <row r="160" spans="1:8" s="66" customFormat="1" ht="24.9" customHeight="1">
      <c r="A160" s="28"/>
      <c r="B160" s="29" t="s">
        <v>471</v>
      </c>
      <c r="C160" s="65"/>
      <c r="D160" s="65">
        <v>600</v>
      </c>
      <c r="E160" s="65"/>
      <c r="F160" s="65"/>
      <c r="G160" s="65">
        <f t="shared" si="13"/>
        <v>600</v>
      </c>
      <c r="H160" s="65"/>
    </row>
    <row r="161" spans="1:8" s="66" customFormat="1" ht="24.9" customHeight="1">
      <c r="A161" s="28"/>
      <c r="B161" s="29" t="s">
        <v>680</v>
      </c>
      <c r="C161" s="65"/>
      <c r="D161" s="65">
        <v>1200</v>
      </c>
      <c r="E161" s="65"/>
      <c r="F161" s="69"/>
      <c r="G161" s="65">
        <f t="shared" si="13"/>
        <v>1200</v>
      </c>
      <c r="H161" s="69"/>
    </row>
    <row r="162" spans="1:8" s="61" customFormat="1" ht="24.9" customHeight="1">
      <c r="A162" s="26" t="s">
        <v>604</v>
      </c>
      <c r="B162" s="70" t="s">
        <v>661</v>
      </c>
      <c r="C162" s="64"/>
      <c r="D162" s="64">
        <v>919.09500000000003</v>
      </c>
      <c r="E162" s="64"/>
      <c r="F162" s="60"/>
      <c r="G162" s="64">
        <f t="shared" si="13"/>
        <v>919.09500000000003</v>
      </c>
      <c r="H162" s="60"/>
    </row>
    <row r="163" spans="1:8" s="61" customFormat="1" ht="24.9" customHeight="1">
      <c r="A163" s="26" t="s">
        <v>603</v>
      </c>
      <c r="B163" s="70" t="s">
        <v>662</v>
      </c>
      <c r="C163" s="64"/>
      <c r="D163" s="64">
        <v>223.65</v>
      </c>
      <c r="E163" s="64"/>
      <c r="F163" s="60"/>
      <c r="G163" s="64">
        <f t="shared" si="13"/>
        <v>223.65</v>
      </c>
      <c r="H163" s="60"/>
    </row>
    <row r="164" spans="1:8" s="61" customFormat="1" ht="24.9" customHeight="1">
      <c r="A164" s="26" t="s">
        <v>700</v>
      </c>
      <c r="B164" s="70" t="s">
        <v>663</v>
      </c>
      <c r="C164" s="64"/>
      <c r="D164" s="64">
        <v>2130</v>
      </c>
      <c r="E164" s="64"/>
      <c r="F164" s="60"/>
      <c r="G164" s="64">
        <f t="shared" si="13"/>
        <v>2130</v>
      </c>
      <c r="H164" s="60"/>
    </row>
    <row r="165" spans="1:8" s="61" customFormat="1" ht="24.9" customHeight="1">
      <c r="A165" s="26" t="s">
        <v>701</v>
      </c>
      <c r="B165" s="70" t="s">
        <v>664</v>
      </c>
      <c r="C165" s="64"/>
      <c r="D165" s="64">
        <v>323.76</v>
      </c>
      <c r="E165" s="64"/>
      <c r="F165" s="60"/>
      <c r="G165" s="64">
        <f t="shared" si="13"/>
        <v>323.76</v>
      </c>
      <c r="H165" s="60"/>
    </row>
    <row r="166" spans="1:8" s="61" customFormat="1" ht="24.9" customHeight="1">
      <c r="A166" s="26" t="s">
        <v>702</v>
      </c>
      <c r="B166" s="70" t="s">
        <v>665</v>
      </c>
      <c r="C166" s="64"/>
      <c r="D166" s="64">
        <v>266.25</v>
      </c>
      <c r="E166" s="64"/>
      <c r="F166" s="60"/>
      <c r="G166" s="64">
        <f t="shared" si="13"/>
        <v>266.25</v>
      </c>
      <c r="H166" s="60"/>
    </row>
    <row r="167" spans="1:8" s="61" customFormat="1" ht="24.9" customHeight="1">
      <c r="A167" s="26" t="s">
        <v>514</v>
      </c>
      <c r="B167" s="70" t="s">
        <v>666</v>
      </c>
      <c r="C167" s="64">
        <v>0</v>
      </c>
      <c r="D167" s="64">
        <v>1192.8</v>
      </c>
      <c r="E167" s="64">
        <v>0</v>
      </c>
      <c r="F167" s="60">
        <v>0</v>
      </c>
      <c r="G167" s="64">
        <f t="shared" si="13"/>
        <v>1192.8</v>
      </c>
      <c r="H167" s="60">
        <v>0</v>
      </c>
    </row>
    <row r="168" spans="1:8" s="66" customFormat="1" ht="24.9" customHeight="1">
      <c r="A168" s="28"/>
      <c r="B168" s="71" t="s">
        <v>667</v>
      </c>
      <c r="C168" s="65"/>
      <c r="D168" s="65">
        <v>607.04999999999995</v>
      </c>
      <c r="E168" s="65"/>
      <c r="F168" s="69"/>
      <c r="G168" s="65">
        <f t="shared" si="13"/>
        <v>607.04999999999995</v>
      </c>
      <c r="H168" s="69"/>
    </row>
    <row r="169" spans="1:8" s="66" customFormat="1" ht="24.9" customHeight="1">
      <c r="A169" s="28"/>
      <c r="B169" s="71" t="s">
        <v>668</v>
      </c>
      <c r="C169" s="65"/>
      <c r="D169" s="65">
        <v>266.25</v>
      </c>
      <c r="E169" s="65"/>
      <c r="F169" s="69"/>
      <c r="G169" s="65">
        <f t="shared" si="13"/>
        <v>266.25</v>
      </c>
      <c r="H169" s="69"/>
    </row>
    <row r="170" spans="1:8" s="66" customFormat="1" ht="24.9" customHeight="1">
      <c r="A170" s="28"/>
      <c r="B170" s="71" t="s">
        <v>669</v>
      </c>
      <c r="C170" s="65"/>
      <c r="D170" s="65">
        <v>159.75</v>
      </c>
      <c r="E170" s="65"/>
      <c r="F170" s="69"/>
      <c r="G170" s="65">
        <f t="shared" si="13"/>
        <v>159.75</v>
      </c>
      <c r="H170" s="69"/>
    </row>
    <row r="171" spans="1:8" s="66" customFormat="1" ht="24.9" customHeight="1">
      <c r="A171" s="28"/>
      <c r="B171" s="71" t="s">
        <v>670</v>
      </c>
      <c r="C171" s="65"/>
      <c r="D171" s="65">
        <v>159.75</v>
      </c>
      <c r="E171" s="65"/>
      <c r="F171" s="69"/>
      <c r="G171" s="65">
        <f t="shared" si="13"/>
        <v>159.75</v>
      </c>
      <c r="H171" s="69"/>
    </row>
    <row r="172" spans="1:8" s="61" customFormat="1" ht="24.9" customHeight="1">
      <c r="A172" s="26" t="s">
        <v>516</v>
      </c>
      <c r="B172" s="70" t="s">
        <v>671</v>
      </c>
      <c r="C172" s="64"/>
      <c r="D172" s="64">
        <v>942.52499999999998</v>
      </c>
      <c r="E172" s="64"/>
      <c r="F172" s="60"/>
      <c r="G172" s="64">
        <f t="shared" si="13"/>
        <v>942.52499999999998</v>
      </c>
      <c r="H172" s="60"/>
    </row>
    <row r="173" spans="1:8" s="61" customFormat="1" ht="36.9" customHeight="1">
      <c r="A173" s="26" t="s">
        <v>518</v>
      </c>
      <c r="B173" s="67" t="s">
        <v>672</v>
      </c>
      <c r="C173" s="64"/>
      <c r="D173" s="64">
        <v>1171.5</v>
      </c>
      <c r="E173" s="64"/>
      <c r="F173" s="60"/>
      <c r="G173" s="64">
        <f t="shared" si="13"/>
        <v>1171.5</v>
      </c>
      <c r="H173" s="60"/>
    </row>
    <row r="174" spans="1:8" s="61" customFormat="1" ht="54" customHeight="1">
      <c r="A174" s="26" t="s">
        <v>519</v>
      </c>
      <c r="B174" s="67" t="s">
        <v>703</v>
      </c>
      <c r="C174" s="64"/>
      <c r="D174" s="64">
        <v>532.5</v>
      </c>
      <c r="E174" s="64"/>
      <c r="F174" s="60"/>
      <c r="G174" s="64">
        <f t="shared" si="13"/>
        <v>532.5</v>
      </c>
      <c r="H174" s="60"/>
    </row>
    <row r="175" spans="1:8" s="61" customFormat="1" ht="24.9" customHeight="1">
      <c r="A175" s="26" t="s">
        <v>520</v>
      </c>
      <c r="B175" s="67" t="s">
        <v>673</v>
      </c>
      <c r="C175" s="64"/>
      <c r="D175" s="64">
        <v>200</v>
      </c>
      <c r="E175" s="64"/>
      <c r="F175" s="60"/>
      <c r="G175" s="64">
        <f t="shared" si="13"/>
        <v>200</v>
      </c>
      <c r="H175" s="60"/>
    </row>
    <row r="176" spans="1:8" s="68" customFormat="1" ht="24.9" customHeight="1">
      <c r="A176" s="30" t="s">
        <v>264</v>
      </c>
      <c r="B176" s="62" t="s">
        <v>472</v>
      </c>
      <c r="C176" s="57">
        <f t="shared" ref="C176:H176" si="14">SUM(C177:C193)</f>
        <v>0</v>
      </c>
      <c r="D176" s="57">
        <f t="shared" si="14"/>
        <v>1560</v>
      </c>
      <c r="E176" s="57">
        <f t="shared" si="14"/>
        <v>0</v>
      </c>
      <c r="F176" s="57">
        <f t="shared" si="14"/>
        <v>0</v>
      </c>
      <c r="G176" s="57">
        <f t="shared" si="14"/>
        <v>1560</v>
      </c>
      <c r="H176" s="57">
        <f t="shared" si="14"/>
        <v>0</v>
      </c>
    </row>
    <row r="177" spans="1:8" s="61" customFormat="1" ht="24.9" customHeight="1">
      <c r="A177" s="26" t="s">
        <v>597</v>
      </c>
      <c r="B177" s="27" t="s">
        <v>473</v>
      </c>
      <c r="C177" s="64"/>
      <c r="D177" s="64">
        <v>120</v>
      </c>
      <c r="E177" s="64"/>
      <c r="F177" s="64"/>
      <c r="G177" s="64">
        <f t="shared" ref="G177:G193" si="15">D177+E177+F177</f>
        <v>120</v>
      </c>
      <c r="H177" s="64"/>
    </row>
    <row r="178" spans="1:8" s="61" customFormat="1" ht="24.9" customHeight="1">
      <c r="A178" s="26" t="s">
        <v>598</v>
      </c>
      <c r="B178" s="27" t="s">
        <v>474</v>
      </c>
      <c r="C178" s="64"/>
      <c r="D178" s="64">
        <v>60</v>
      </c>
      <c r="E178" s="64"/>
      <c r="F178" s="64"/>
      <c r="G178" s="64">
        <f t="shared" si="15"/>
        <v>60</v>
      </c>
      <c r="H178" s="64"/>
    </row>
    <row r="179" spans="1:8" s="61" customFormat="1" ht="24.9" customHeight="1">
      <c r="A179" s="26" t="s">
        <v>599</v>
      </c>
      <c r="B179" s="27" t="s">
        <v>475</v>
      </c>
      <c r="C179" s="64"/>
      <c r="D179" s="64">
        <v>60</v>
      </c>
      <c r="E179" s="64"/>
      <c r="F179" s="60"/>
      <c r="G179" s="64">
        <f t="shared" si="15"/>
        <v>60</v>
      </c>
      <c r="H179" s="60"/>
    </row>
    <row r="180" spans="1:8" s="61" customFormat="1" ht="24.9" customHeight="1">
      <c r="A180" s="26" t="s">
        <v>600</v>
      </c>
      <c r="B180" s="27" t="s">
        <v>476</v>
      </c>
      <c r="C180" s="64"/>
      <c r="D180" s="64">
        <v>60</v>
      </c>
      <c r="E180" s="64"/>
      <c r="F180" s="60"/>
      <c r="G180" s="64">
        <f t="shared" si="15"/>
        <v>60</v>
      </c>
      <c r="H180" s="60"/>
    </row>
    <row r="181" spans="1:8" s="61" customFormat="1" ht="24.9" customHeight="1">
      <c r="A181" s="26" t="s">
        <v>601</v>
      </c>
      <c r="B181" s="27" t="s">
        <v>477</v>
      </c>
      <c r="C181" s="64"/>
      <c r="D181" s="64">
        <v>60</v>
      </c>
      <c r="E181" s="64"/>
      <c r="F181" s="60"/>
      <c r="G181" s="64">
        <f t="shared" si="15"/>
        <v>60</v>
      </c>
      <c r="H181" s="60"/>
    </row>
    <row r="182" spans="1:8" s="61" customFormat="1" ht="24.9" customHeight="1">
      <c r="A182" s="26" t="s">
        <v>496</v>
      </c>
      <c r="B182" s="27" t="s">
        <v>478</v>
      </c>
      <c r="C182" s="64"/>
      <c r="D182" s="64">
        <v>80</v>
      </c>
      <c r="E182" s="64"/>
      <c r="F182" s="60"/>
      <c r="G182" s="64">
        <f t="shared" si="15"/>
        <v>80</v>
      </c>
      <c r="H182" s="60"/>
    </row>
    <row r="183" spans="1:8" s="61" customFormat="1" ht="24.9" customHeight="1">
      <c r="A183" s="26" t="s">
        <v>602</v>
      </c>
      <c r="B183" s="27" t="s">
        <v>479</v>
      </c>
      <c r="C183" s="64"/>
      <c r="D183" s="64">
        <v>110</v>
      </c>
      <c r="E183" s="64"/>
      <c r="F183" s="60"/>
      <c r="G183" s="64">
        <f t="shared" si="15"/>
        <v>110</v>
      </c>
      <c r="H183" s="60"/>
    </row>
    <row r="184" spans="1:8" s="61" customFormat="1" ht="24.9" customHeight="1">
      <c r="A184" s="26" t="s">
        <v>604</v>
      </c>
      <c r="B184" s="27" t="s">
        <v>480</v>
      </c>
      <c r="C184" s="64"/>
      <c r="D184" s="64">
        <v>110</v>
      </c>
      <c r="E184" s="64"/>
      <c r="F184" s="60"/>
      <c r="G184" s="64">
        <f t="shared" si="15"/>
        <v>110</v>
      </c>
      <c r="H184" s="60"/>
    </row>
    <row r="185" spans="1:8" s="61" customFormat="1" ht="24.9" customHeight="1">
      <c r="A185" s="26" t="s">
        <v>603</v>
      </c>
      <c r="B185" s="27" t="s">
        <v>481</v>
      </c>
      <c r="C185" s="64"/>
      <c r="D185" s="64">
        <v>130</v>
      </c>
      <c r="E185" s="64"/>
      <c r="F185" s="60"/>
      <c r="G185" s="64">
        <f t="shared" si="15"/>
        <v>130</v>
      </c>
      <c r="H185" s="60"/>
    </row>
    <row r="186" spans="1:8" s="61" customFormat="1" ht="24.9" customHeight="1">
      <c r="A186" s="26" t="s">
        <v>700</v>
      </c>
      <c r="B186" s="27" t="s">
        <v>482</v>
      </c>
      <c r="C186" s="64"/>
      <c r="D186" s="64">
        <v>160</v>
      </c>
      <c r="E186" s="64"/>
      <c r="F186" s="60"/>
      <c r="G186" s="64">
        <f t="shared" si="15"/>
        <v>160</v>
      </c>
      <c r="H186" s="60"/>
    </row>
    <row r="187" spans="1:8" s="61" customFormat="1" ht="24.9" customHeight="1">
      <c r="A187" s="26" t="s">
        <v>701</v>
      </c>
      <c r="B187" s="27" t="s">
        <v>483</v>
      </c>
      <c r="C187" s="64"/>
      <c r="D187" s="64">
        <v>110</v>
      </c>
      <c r="E187" s="64"/>
      <c r="F187" s="60"/>
      <c r="G187" s="64">
        <f t="shared" si="15"/>
        <v>110</v>
      </c>
      <c r="H187" s="60"/>
    </row>
    <row r="188" spans="1:8" s="61" customFormat="1" ht="24.9" customHeight="1">
      <c r="A188" s="26" t="s">
        <v>702</v>
      </c>
      <c r="B188" s="27" t="s">
        <v>484</v>
      </c>
      <c r="C188" s="64"/>
      <c r="D188" s="64">
        <v>60</v>
      </c>
      <c r="E188" s="64"/>
      <c r="F188" s="60"/>
      <c r="G188" s="64">
        <f t="shared" si="15"/>
        <v>60</v>
      </c>
      <c r="H188" s="60"/>
    </row>
    <row r="189" spans="1:8" s="61" customFormat="1" ht="24.9" customHeight="1">
      <c r="A189" s="26" t="s">
        <v>514</v>
      </c>
      <c r="B189" s="27" t="s">
        <v>485</v>
      </c>
      <c r="C189" s="64"/>
      <c r="D189" s="64">
        <v>60</v>
      </c>
      <c r="E189" s="64"/>
      <c r="F189" s="60"/>
      <c r="G189" s="64">
        <f t="shared" si="15"/>
        <v>60</v>
      </c>
      <c r="H189" s="60"/>
    </row>
    <row r="190" spans="1:8" s="61" customFormat="1" ht="24.9" customHeight="1">
      <c r="A190" s="26" t="s">
        <v>516</v>
      </c>
      <c r="B190" s="27" t="s">
        <v>486</v>
      </c>
      <c r="C190" s="64"/>
      <c r="D190" s="64">
        <v>60</v>
      </c>
      <c r="E190" s="64"/>
      <c r="F190" s="60"/>
      <c r="G190" s="64">
        <f t="shared" si="15"/>
        <v>60</v>
      </c>
      <c r="H190" s="60"/>
    </row>
    <row r="191" spans="1:8" s="61" customFormat="1" ht="24.9" customHeight="1">
      <c r="A191" s="26" t="s">
        <v>518</v>
      </c>
      <c r="B191" s="70" t="s">
        <v>674</v>
      </c>
      <c r="C191" s="63"/>
      <c r="D191" s="63">
        <v>110</v>
      </c>
      <c r="E191" s="63"/>
      <c r="F191" s="63"/>
      <c r="G191" s="64">
        <f t="shared" si="15"/>
        <v>110</v>
      </c>
      <c r="H191" s="63"/>
    </row>
    <row r="192" spans="1:8" s="61" customFormat="1" ht="24.9" customHeight="1">
      <c r="A192" s="26" t="s">
        <v>519</v>
      </c>
      <c r="B192" s="27" t="s">
        <v>968</v>
      </c>
      <c r="C192" s="64"/>
      <c r="D192" s="64">
        <v>150</v>
      </c>
      <c r="E192" s="64"/>
      <c r="F192" s="60"/>
      <c r="G192" s="64">
        <f t="shared" ref="G192" si="16">D192+E192+F192</f>
        <v>150</v>
      </c>
      <c r="H192" s="60"/>
    </row>
    <row r="193" spans="1:8" s="61" customFormat="1" ht="24.9" customHeight="1">
      <c r="A193" s="26" t="s">
        <v>520</v>
      </c>
      <c r="B193" s="70" t="s">
        <v>675</v>
      </c>
      <c r="C193" s="63"/>
      <c r="D193" s="63">
        <v>60</v>
      </c>
      <c r="E193" s="63"/>
      <c r="F193" s="63"/>
      <c r="G193" s="64">
        <f t="shared" si="15"/>
        <v>60</v>
      </c>
      <c r="H193" s="63"/>
    </row>
    <row r="194" spans="1:8" ht="15.6">
      <c r="A194" s="24"/>
      <c r="B194" s="72"/>
      <c r="C194" s="73"/>
      <c r="D194" s="73"/>
      <c r="E194" s="73"/>
      <c r="F194" s="73"/>
      <c r="G194" s="74"/>
      <c r="H194" s="73"/>
    </row>
    <row r="195" spans="1:8" ht="21.75" customHeight="1">
      <c r="A195" s="24"/>
      <c r="B195" s="72"/>
      <c r="C195" s="75"/>
      <c r="D195" s="313"/>
      <c r="E195" s="313"/>
      <c r="F195" s="313"/>
      <c r="G195" s="313"/>
      <c r="H195" s="313"/>
    </row>
    <row r="196" spans="1:8">
      <c r="A196" s="24"/>
      <c r="B196" s="25"/>
      <c r="C196" s="75"/>
      <c r="D196" s="75"/>
      <c r="E196" s="75"/>
      <c r="F196" s="75"/>
      <c r="G196" s="76"/>
      <c r="H196" s="75"/>
    </row>
  </sheetData>
  <mergeCells count="9">
    <mergeCell ref="A1:B1"/>
    <mergeCell ref="C1:H1"/>
    <mergeCell ref="A2:B2"/>
    <mergeCell ref="C2:H2"/>
    <mergeCell ref="D195:H195"/>
    <mergeCell ref="A4:H4"/>
    <mergeCell ref="A5:H5"/>
    <mergeCell ref="A6:H6"/>
    <mergeCell ref="F7:H7"/>
  </mergeCells>
  <phoneticPr fontId="3" type="noConversion"/>
  <printOptions horizontalCentered="1"/>
  <pageMargins left="0" right="0" top="0.48" bottom="0.65" header="0.35" footer="0.2"/>
  <pageSetup paperSize="9" orientation="landscape" r:id="rId1"/>
  <headerFooter alignWithMargins="0">
    <oddFooter>&amp;C&amp;P/12 (PL 03)</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view="pageBreakPreview" topLeftCell="A73" zoomScale="60" zoomScaleNormal="100" workbookViewId="0">
      <selection activeCell="F88" sqref="F88"/>
    </sheetView>
  </sheetViews>
  <sheetFormatPr defaultColWidth="9" defaultRowHeight="13.2"/>
  <cols>
    <col min="1" max="1" width="4.69921875" style="99" customWidth="1"/>
    <col min="2" max="2" width="31" style="100" customWidth="1"/>
    <col min="3" max="3" width="6.59765625" style="100" customWidth="1"/>
    <col min="4" max="4" width="7.09765625" style="100" customWidth="1"/>
    <col min="5" max="5" width="13.19921875" style="100" customWidth="1"/>
    <col min="6" max="6" width="8.69921875" style="100" customWidth="1"/>
    <col min="7" max="7" width="9" style="100" customWidth="1"/>
    <col min="8" max="8" width="8.19921875" style="100" customWidth="1"/>
    <col min="9" max="16384" width="9" style="100"/>
  </cols>
  <sheetData>
    <row r="1" spans="1:8" ht="17.399999999999999">
      <c r="A1" s="312" t="s">
        <v>993</v>
      </c>
      <c r="B1" s="312"/>
      <c r="C1" s="312" t="s">
        <v>994</v>
      </c>
      <c r="D1" s="312"/>
      <c r="E1" s="312"/>
      <c r="F1" s="312"/>
      <c r="G1" s="312"/>
      <c r="H1" s="312"/>
    </row>
    <row r="2" spans="1:8" ht="17.399999999999999">
      <c r="A2" s="312" t="s">
        <v>999</v>
      </c>
      <c r="B2" s="312"/>
      <c r="C2" s="312" t="s">
        <v>998</v>
      </c>
      <c r="D2" s="312"/>
      <c r="E2" s="312"/>
      <c r="F2" s="312"/>
      <c r="G2" s="312"/>
      <c r="H2" s="312"/>
    </row>
    <row r="3" spans="1:8" ht="17.399999999999999">
      <c r="A3" s="234"/>
      <c r="B3" s="234"/>
      <c r="C3" s="234"/>
      <c r="D3" s="234"/>
      <c r="E3" s="234"/>
      <c r="F3" s="234"/>
      <c r="G3" s="234"/>
      <c r="H3" s="234"/>
    </row>
    <row r="4" spans="1:8" s="75" customFormat="1" ht="20.100000000000001" customHeight="1">
      <c r="A4" s="322" t="s">
        <v>487</v>
      </c>
      <c r="B4" s="322"/>
      <c r="C4" s="322"/>
      <c r="D4" s="322"/>
      <c r="E4" s="322"/>
      <c r="F4" s="322"/>
      <c r="G4" s="322"/>
      <c r="H4" s="322"/>
    </row>
    <row r="5" spans="1:8" s="79" customFormat="1" ht="20.100000000000001" customHeight="1">
      <c r="A5" s="322" t="s">
        <v>704</v>
      </c>
      <c r="B5" s="322"/>
      <c r="C5" s="322"/>
      <c r="D5" s="322"/>
      <c r="E5" s="322"/>
      <c r="F5" s="322"/>
      <c r="G5" s="322"/>
      <c r="H5" s="322"/>
    </row>
    <row r="6" spans="1:8" s="80" customFormat="1" ht="21.75" customHeight="1">
      <c r="A6" s="319" t="s">
        <v>996</v>
      </c>
      <c r="B6" s="319"/>
      <c r="C6" s="319"/>
      <c r="D6" s="319"/>
      <c r="E6" s="319"/>
      <c r="F6" s="319"/>
      <c r="G6" s="319"/>
      <c r="H6" s="319"/>
    </row>
    <row r="7" spans="1:8" s="83" customFormat="1" ht="24.75" customHeight="1">
      <c r="A7" s="81"/>
      <c r="B7" s="82"/>
      <c r="C7" s="82"/>
      <c r="D7" s="82"/>
      <c r="E7" s="82" t="s">
        <v>488</v>
      </c>
      <c r="G7" s="323" t="s">
        <v>0</v>
      </c>
      <c r="H7" s="323"/>
    </row>
    <row r="8" spans="1:8" s="84" customFormat="1" ht="33" customHeight="1">
      <c r="A8" s="321" t="s">
        <v>28</v>
      </c>
      <c r="B8" s="320" t="s">
        <v>331</v>
      </c>
      <c r="C8" s="320" t="s">
        <v>489</v>
      </c>
      <c r="D8" s="320"/>
      <c r="E8" s="320" t="s">
        <v>490</v>
      </c>
      <c r="F8" s="320" t="s">
        <v>491</v>
      </c>
      <c r="G8" s="320" t="s">
        <v>492</v>
      </c>
      <c r="H8" s="320" t="s">
        <v>493</v>
      </c>
    </row>
    <row r="9" spans="1:8" s="84" customFormat="1" ht="54.75" customHeight="1">
      <c r="A9" s="321"/>
      <c r="B9" s="320"/>
      <c r="C9" s="230" t="s">
        <v>494</v>
      </c>
      <c r="D9" s="230" t="s">
        <v>495</v>
      </c>
      <c r="E9" s="320"/>
      <c r="F9" s="320"/>
      <c r="G9" s="320"/>
      <c r="H9" s="320"/>
    </row>
    <row r="10" spans="1:8" s="85" customFormat="1" ht="27" customHeight="1">
      <c r="A10" s="55" t="s">
        <v>5</v>
      </c>
      <c r="B10" s="55" t="s">
        <v>337</v>
      </c>
      <c r="C10" s="55" t="s">
        <v>597</v>
      </c>
      <c r="D10" s="55" t="s">
        <v>598</v>
      </c>
      <c r="E10" s="55" t="s">
        <v>599</v>
      </c>
      <c r="F10" s="55" t="s">
        <v>600</v>
      </c>
      <c r="G10" s="55" t="s">
        <v>991</v>
      </c>
      <c r="H10" s="55" t="s">
        <v>496</v>
      </c>
    </row>
    <row r="11" spans="1:8" s="89" customFormat="1" ht="26.1" customHeight="1">
      <c r="A11" s="86">
        <v>1</v>
      </c>
      <c r="B11" s="87" t="s">
        <v>497</v>
      </c>
      <c r="C11" s="231">
        <f>C12+C13</f>
        <v>51</v>
      </c>
      <c r="D11" s="231">
        <f>D12+D13</f>
        <v>50</v>
      </c>
      <c r="E11" s="231">
        <f>E12+E13</f>
        <v>6088</v>
      </c>
      <c r="F11" s="231">
        <f>F12+F13</f>
        <v>5706</v>
      </c>
      <c r="G11" s="231">
        <f>G12+G13</f>
        <v>11794</v>
      </c>
      <c r="H11" s="231"/>
    </row>
    <row r="12" spans="1:8" s="89" customFormat="1" ht="26.1" customHeight="1">
      <c r="A12" s="86"/>
      <c r="B12" s="87" t="s">
        <v>705</v>
      </c>
      <c r="C12" s="231">
        <v>51</v>
      </c>
      <c r="D12" s="231">
        <v>50</v>
      </c>
      <c r="E12" s="88">
        <v>6088</v>
      </c>
      <c r="F12" s="231">
        <v>4536</v>
      </c>
      <c r="G12" s="88">
        <f>E12+F12</f>
        <v>10624</v>
      </c>
      <c r="H12" s="88"/>
    </row>
    <row r="13" spans="1:8" s="89" customFormat="1" ht="26.1" customHeight="1">
      <c r="A13" s="86"/>
      <c r="B13" s="87" t="s">
        <v>706</v>
      </c>
      <c r="C13" s="231"/>
      <c r="D13" s="231"/>
      <c r="E13" s="88"/>
      <c r="F13" s="231">
        <v>1170</v>
      </c>
      <c r="G13" s="88">
        <f>E13+F13</f>
        <v>1170</v>
      </c>
      <c r="H13" s="88"/>
    </row>
    <row r="14" spans="1:8" s="89" customFormat="1" ht="26.1" customHeight="1">
      <c r="A14" s="86">
        <v>2</v>
      </c>
      <c r="B14" s="87" t="s">
        <v>498</v>
      </c>
      <c r="C14" s="231">
        <f t="shared" ref="C14:F14" si="0">C15+C16</f>
        <v>272</v>
      </c>
      <c r="D14" s="231">
        <f t="shared" si="0"/>
        <v>264</v>
      </c>
      <c r="E14" s="231">
        <f t="shared" si="0"/>
        <v>32908.6</v>
      </c>
      <c r="F14" s="231">
        <f t="shared" si="0"/>
        <v>9331.1</v>
      </c>
      <c r="G14" s="231">
        <f>G15+G16</f>
        <v>42239.7</v>
      </c>
      <c r="H14" s="231">
        <f>H15+H16</f>
        <v>20000</v>
      </c>
    </row>
    <row r="15" spans="1:8" s="89" customFormat="1" ht="26.1" customHeight="1">
      <c r="A15" s="86"/>
      <c r="B15" s="87" t="s">
        <v>499</v>
      </c>
      <c r="C15" s="231">
        <v>272</v>
      </c>
      <c r="D15" s="231">
        <v>264</v>
      </c>
      <c r="E15" s="88">
        <v>26568</v>
      </c>
      <c r="F15" s="231">
        <v>9331.1</v>
      </c>
      <c r="G15" s="88">
        <f>E15+F15</f>
        <v>35899.1</v>
      </c>
      <c r="H15" s="88">
        <v>20000</v>
      </c>
    </row>
    <row r="16" spans="1:8" s="89" customFormat="1" ht="26.1" customHeight="1">
      <c r="A16" s="86"/>
      <c r="B16" s="87" t="s">
        <v>500</v>
      </c>
      <c r="C16" s="231"/>
      <c r="D16" s="231"/>
      <c r="E16" s="88">
        <v>6340.6</v>
      </c>
      <c r="F16" s="231"/>
      <c r="G16" s="88">
        <f>E16+F16</f>
        <v>6340.6</v>
      </c>
      <c r="H16" s="88"/>
    </row>
    <row r="17" spans="1:8" s="89" customFormat="1" ht="26.1" customHeight="1">
      <c r="A17" s="86"/>
      <c r="B17" s="87" t="s">
        <v>501</v>
      </c>
      <c r="C17" s="231"/>
      <c r="D17" s="231"/>
      <c r="E17" s="88"/>
      <c r="F17" s="231"/>
      <c r="G17" s="88">
        <v>40317.699999999997</v>
      </c>
      <c r="H17" s="88"/>
    </row>
    <row r="18" spans="1:8" s="89" customFormat="1" ht="39.9" customHeight="1">
      <c r="A18" s="86"/>
      <c r="B18" s="87" t="s">
        <v>502</v>
      </c>
      <c r="C18" s="231"/>
      <c r="D18" s="231"/>
      <c r="E18" s="88"/>
      <c r="F18" s="231"/>
      <c r="G18" s="88">
        <v>1922</v>
      </c>
      <c r="H18" s="88"/>
    </row>
    <row r="19" spans="1:8" s="89" customFormat="1" ht="26.1" customHeight="1">
      <c r="A19" s="86">
        <v>3</v>
      </c>
      <c r="B19" s="87" t="s">
        <v>503</v>
      </c>
      <c r="C19" s="231">
        <f t="shared" ref="C19:H19" si="1">C20+C21</f>
        <v>75</v>
      </c>
      <c r="D19" s="231">
        <f t="shared" si="1"/>
        <v>68</v>
      </c>
      <c r="E19" s="231">
        <f t="shared" si="1"/>
        <v>7782.5</v>
      </c>
      <c r="F19" s="231">
        <f t="shared" si="1"/>
        <v>2837.5</v>
      </c>
      <c r="G19" s="231">
        <f t="shared" si="1"/>
        <v>10620</v>
      </c>
      <c r="H19" s="231">
        <f t="shared" si="1"/>
        <v>7000</v>
      </c>
    </row>
    <row r="20" spans="1:8" s="89" customFormat="1" ht="26.1" customHeight="1">
      <c r="A20" s="86"/>
      <c r="B20" s="87" t="s">
        <v>499</v>
      </c>
      <c r="C20" s="231">
        <v>75</v>
      </c>
      <c r="D20" s="231">
        <v>68</v>
      </c>
      <c r="E20" s="88">
        <v>7431.5</v>
      </c>
      <c r="F20" s="231">
        <v>2837.5</v>
      </c>
      <c r="G20" s="88">
        <f>E20+F20</f>
        <v>10269</v>
      </c>
      <c r="H20" s="88">
        <v>7000</v>
      </c>
    </row>
    <row r="21" spans="1:8" s="89" customFormat="1" ht="26.1" customHeight="1">
      <c r="A21" s="86"/>
      <c r="B21" s="87" t="s">
        <v>500</v>
      </c>
      <c r="C21" s="231"/>
      <c r="D21" s="231"/>
      <c r="E21" s="88">
        <v>351</v>
      </c>
      <c r="F21" s="231"/>
      <c r="G21" s="88">
        <f>E21+F21</f>
        <v>351</v>
      </c>
      <c r="H21" s="88"/>
    </row>
    <row r="22" spans="1:8" s="89" customFormat="1" ht="26.1" customHeight="1">
      <c r="A22" s="86"/>
      <c r="B22" s="87" t="s">
        <v>501</v>
      </c>
      <c r="C22" s="231"/>
      <c r="D22" s="231"/>
      <c r="E22" s="88"/>
      <c r="F22" s="231"/>
      <c r="G22" s="88">
        <v>10160</v>
      </c>
      <c r="H22" s="88"/>
    </row>
    <row r="23" spans="1:8" s="89" customFormat="1" ht="39.9" customHeight="1">
      <c r="A23" s="86"/>
      <c r="B23" s="87" t="s">
        <v>502</v>
      </c>
      <c r="C23" s="231"/>
      <c r="D23" s="231"/>
      <c r="E23" s="88"/>
      <c r="F23" s="231"/>
      <c r="G23" s="88">
        <v>460</v>
      </c>
      <c r="H23" s="88"/>
    </row>
    <row r="24" spans="1:8" s="89" customFormat="1" ht="26.1" customHeight="1">
      <c r="A24" s="86">
        <v>4</v>
      </c>
      <c r="B24" s="87" t="s">
        <v>504</v>
      </c>
      <c r="C24" s="88">
        <f t="shared" ref="C24:F24" si="2">C25+C26</f>
        <v>93</v>
      </c>
      <c r="D24" s="88">
        <f t="shared" si="2"/>
        <v>90</v>
      </c>
      <c r="E24" s="88">
        <f t="shared" si="2"/>
        <v>8941.2999999999993</v>
      </c>
      <c r="F24" s="88">
        <f t="shared" si="2"/>
        <v>3156.4</v>
      </c>
      <c r="G24" s="88">
        <f>G25+G26</f>
        <v>12097.7</v>
      </c>
      <c r="H24" s="88">
        <v>8000</v>
      </c>
    </row>
    <row r="25" spans="1:8" s="89" customFormat="1" ht="26.1" customHeight="1">
      <c r="A25" s="86"/>
      <c r="B25" s="87" t="s">
        <v>499</v>
      </c>
      <c r="C25" s="231">
        <v>93</v>
      </c>
      <c r="D25" s="231">
        <v>90</v>
      </c>
      <c r="E25" s="88">
        <v>7688.3</v>
      </c>
      <c r="F25" s="231">
        <v>3156.4</v>
      </c>
      <c r="G25" s="88">
        <f>E25+F25</f>
        <v>10844.7</v>
      </c>
      <c r="H25" s="88">
        <v>8000</v>
      </c>
    </row>
    <row r="26" spans="1:8" s="89" customFormat="1" ht="26.1" customHeight="1">
      <c r="A26" s="86"/>
      <c r="B26" s="87" t="s">
        <v>500</v>
      </c>
      <c r="C26" s="231">
        <v>0</v>
      </c>
      <c r="D26" s="231">
        <v>0</v>
      </c>
      <c r="E26" s="88">
        <v>1253</v>
      </c>
      <c r="F26" s="231"/>
      <c r="G26" s="88">
        <f>E26+F26</f>
        <v>1253</v>
      </c>
      <c r="H26" s="88"/>
    </row>
    <row r="27" spans="1:8" s="89" customFormat="1" ht="26.1" customHeight="1">
      <c r="A27" s="86"/>
      <c r="B27" s="87" t="s">
        <v>501</v>
      </c>
      <c r="C27" s="231"/>
      <c r="D27" s="231"/>
      <c r="E27" s="88"/>
      <c r="F27" s="231"/>
      <c r="G27" s="88">
        <v>11509.7</v>
      </c>
      <c r="H27" s="88"/>
    </row>
    <row r="28" spans="1:8" s="89" customFormat="1" ht="39.9" customHeight="1">
      <c r="A28" s="86"/>
      <c r="B28" s="87" t="s">
        <v>502</v>
      </c>
      <c r="C28" s="231"/>
      <c r="D28" s="231"/>
      <c r="E28" s="88"/>
      <c r="F28" s="231"/>
      <c r="G28" s="88">
        <v>588</v>
      </c>
      <c r="H28" s="88"/>
    </row>
    <row r="29" spans="1:8" s="89" customFormat="1" ht="39.9" customHeight="1">
      <c r="A29" s="86">
        <v>5</v>
      </c>
      <c r="B29" s="87" t="s">
        <v>505</v>
      </c>
      <c r="C29" s="231">
        <v>55</v>
      </c>
      <c r="D29" s="231">
        <v>53</v>
      </c>
      <c r="E29" s="88">
        <v>5440</v>
      </c>
      <c r="F29" s="231">
        <v>1417.1</v>
      </c>
      <c r="G29" s="88">
        <f>E29+F29</f>
        <v>6857.1</v>
      </c>
      <c r="H29" s="88">
        <v>1000</v>
      </c>
    </row>
    <row r="30" spans="1:8" s="89" customFormat="1" ht="26.1" customHeight="1">
      <c r="A30" s="86"/>
      <c r="B30" s="87" t="s">
        <v>501</v>
      </c>
      <c r="C30" s="231"/>
      <c r="D30" s="231"/>
      <c r="E30" s="88"/>
      <c r="F30" s="231"/>
      <c r="G30" s="88">
        <v>6485.1</v>
      </c>
      <c r="H30" s="88"/>
    </row>
    <row r="31" spans="1:8" s="89" customFormat="1" ht="39.9" customHeight="1">
      <c r="A31" s="86"/>
      <c r="B31" s="87" t="s">
        <v>502</v>
      </c>
      <c r="C31" s="231"/>
      <c r="D31" s="231"/>
      <c r="E31" s="88"/>
      <c r="F31" s="231"/>
      <c r="G31" s="88">
        <v>372</v>
      </c>
      <c r="H31" s="88"/>
    </row>
    <row r="32" spans="1:8" s="89" customFormat="1" ht="26.1" customHeight="1">
      <c r="A32" s="86">
        <v>6</v>
      </c>
      <c r="B32" s="87" t="s">
        <v>506</v>
      </c>
      <c r="C32" s="231">
        <v>31</v>
      </c>
      <c r="D32" s="231">
        <v>31</v>
      </c>
      <c r="E32" s="88">
        <v>3520</v>
      </c>
      <c r="F32" s="231">
        <v>1155.4000000000001</v>
      </c>
      <c r="G32" s="88">
        <f>E32+F32</f>
        <v>4675.3999999999996</v>
      </c>
      <c r="H32" s="88">
        <v>2500</v>
      </c>
    </row>
    <row r="33" spans="1:8" s="89" customFormat="1" ht="26.1" customHeight="1">
      <c r="A33" s="86"/>
      <c r="B33" s="87" t="s">
        <v>501</v>
      </c>
      <c r="C33" s="231"/>
      <c r="D33" s="231"/>
      <c r="E33" s="88"/>
      <c r="F33" s="231"/>
      <c r="G33" s="88">
        <v>4477.3999999999996</v>
      </c>
      <c r="H33" s="88"/>
    </row>
    <row r="34" spans="1:8" s="89" customFormat="1" ht="39.9" customHeight="1">
      <c r="A34" s="86"/>
      <c r="B34" s="87" t="s">
        <v>502</v>
      </c>
      <c r="C34" s="231"/>
      <c r="D34" s="231"/>
      <c r="E34" s="88"/>
      <c r="F34" s="231"/>
      <c r="G34" s="88">
        <v>198</v>
      </c>
      <c r="H34" s="88"/>
    </row>
    <row r="35" spans="1:8" s="89" customFormat="1" ht="26.1" customHeight="1">
      <c r="A35" s="86">
        <v>7</v>
      </c>
      <c r="B35" s="87" t="s">
        <v>507</v>
      </c>
      <c r="C35" s="231">
        <v>40</v>
      </c>
      <c r="D35" s="231">
        <v>39</v>
      </c>
      <c r="E35" s="88">
        <v>4056</v>
      </c>
      <c r="F35" s="231">
        <v>2158</v>
      </c>
      <c r="G35" s="88">
        <f>E35+F35</f>
        <v>6214</v>
      </c>
      <c r="H35" s="88">
        <v>5000</v>
      </c>
    </row>
    <row r="36" spans="1:8" s="89" customFormat="1" ht="26.1" customHeight="1">
      <c r="A36" s="86"/>
      <c r="B36" s="87" t="s">
        <v>501</v>
      </c>
      <c r="C36" s="231"/>
      <c r="D36" s="231"/>
      <c r="E36" s="88"/>
      <c r="F36" s="231"/>
      <c r="G36" s="88">
        <v>5972</v>
      </c>
      <c r="H36" s="88"/>
    </row>
    <row r="37" spans="1:8" s="89" customFormat="1" ht="39.9" customHeight="1">
      <c r="A37" s="86"/>
      <c r="B37" s="87" t="s">
        <v>502</v>
      </c>
      <c r="C37" s="231"/>
      <c r="D37" s="231"/>
      <c r="E37" s="88"/>
      <c r="F37" s="231"/>
      <c r="G37" s="88">
        <v>242</v>
      </c>
      <c r="H37" s="88"/>
    </row>
    <row r="38" spans="1:8" s="89" customFormat="1" ht="26.1" customHeight="1">
      <c r="A38" s="86">
        <v>8</v>
      </c>
      <c r="B38" s="87" t="s">
        <v>508</v>
      </c>
      <c r="C38" s="231">
        <v>4</v>
      </c>
      <c r="D38" s="231">
        <v>2</v>
      </c>
      <c r="E38" s="88">
        <v>452</v>
      </c>
      <c r="F38" s="231">
        <v>1087</v>
      </c>
      <c r="G38" s="88">
        <f>E38+F38</f>
        <v>1539</v>
      </c>
      <c r="H38" s="88">
        <v>2100</v>
      </c>
    </row>
    <row r="39" spans="1:8" s="89" customFormat="1" ht="26.1" customHeight="1">
      <c r="A39" s="86">
        <v>9</v>
      </c>
      <c r="B39" s="87" t="s">
        <v>509</v>
      </c>
      <c r="C39" s="231"/>
      <c r="D39" s="231"/>
      <c r="E39" s="88"/>
      <c r="F39" s="231">
        <v>1226.7</v>
      </c>
      <c r="G39" s="88">
        <f>E39+F39</f>
        <v>1226.7</v>
      </c>
      <c r="H39" s="88"/>
    </row>
    <row r="40" spans="1:8" s="89" customFormat="1" ht="39.9" customHeight="1">
      <c r="A40" s="86">
        <v>10</v>
      </c>
      <c r="B40" s="87" t="s">
        <v>510</v>
      </c>
      <c r="C40" s="231"/>
      <c r="D40" s="231"/>
      <c r="E40" s="88">
        <v>30</v>
      </c>
      <c r="F40" s="231">
        <v>330</v>
      </c>
      <c r="G40" s="88">
        <f>E40+F40</f>
        <v>360</v>
      </c>
      <c r="H40" s="88"/>
    </row>
    <row r="41" spans="1:8" s="89" customFormat="1" ht="57.9" customHeight="1">
      <c r="A41" s="86">
        <v>11</v>
      </c>
      <c r="B41" s="87" t="s">
        <v>990</v>
      </c>
      <c r="C41" s="231"/>
      <c r="D41" s="231"/>
      <c r="E41" s="88"/>
      <c r="F41" s="231">
        <v>300</v>
      </c>
      <c r="G41" s="88">
        <f>E41+F41</f>
        <v>300</v>
      </c>
      <c r="H41" s="88"/>
    </row>
    <row r="42" spans="1:8" s="89" customFormat="1" ht="26.1" customHeight="1">
      <c r="A42" s="86">
        <v>12</v>
      </c>
      <c r="B42" s="87" t="s">
        <v>511</v>
      </c>
      <c r="C42" s="88">
        <f t="shared" ref="C42:F42" si="3">C43+C44</f>
        <v>0</v>
      </c>
      <c r="D42" s="88">
        <f t="shared" si="3"/>
        <v>0</v>
      </c>
      <c r="E42" s="88">
        <f t="shared" si="3"/>
        <v>113</v>
      </c>
      <c r="F42" s="88">
        <f t="shared" si="3"/>
        <v>811</v>
      </c>
      <c r="G42" s="88">
        <f>G43+G44</f>
        <v>924</v>
      </c>
      <c r="H42" s="88"/>
    </row>
    <row r="43" spans="1:8" s="89" customFormat="1" ht="26.1" customHeight="1">
      <c r="A43" s="86"/>
      <c r="B43" s="87" t="s">
        <v>512</v>
      </c>
      <c r="C43" s="231"/>
      <c r="D43" s="231"/>
      <c r="E43" s="88">
        <v>113</v>
      </c>
      <c r="F43" s="231">
        <v>779</v>
      </c>
      <c r="G43" s="88">
        <f t="shared" ref="G43:G84" si="4">E43+F43</f>
        <v>892</v>
      </c>
      <c r="H43" s="88"/>
    </row>
    <row r="44" spans="1:8" s="89" customFormat="1" ht="26.1" customHeight="1">
      <c r="A44" s="86"/>
      <c r="B44" s="87" t="s">
        <v>513</v>
      </c>
      <c r="C44" s="231"/>
      <c r="D44" s="231"/>
      <c r="E44" s="88"/>
      <c r="F44" s="231">
        <v>32</v>
      </c>
      <c r="G44" s="88">
        <f t="shared" si="4"/>
        <v>32</v>
      </c>
      <c r="H44" s="88"/>
    </row>
    <row r="45" spans="1:8" s="89" customFormat="1" ht="39.9" customHeight="1">
      <c r="A45" s="86" t="s">
        <v>514</v>
      </c>
      <c r="B45" s="87" t="s">
        <v>515</v>
      </c>
      <c r="C45" s="231"/>
      <c r="D45" s="231"/>
      <c r="E45" s="88"/>
      <c r="F45" s="231">
        <v>214</v>
      </c>
      <c r="G45" s="88">
        <f t="shared" si="4"/>
        <v>214</v>
      </c>
      <c r="H45" s="88"/>
    </row>
    <row r="46" spans="1:8" s="89" customFormat="1" ht="26.1" customHeight="1">
      <c r="A46" s="86" t="s">
        <v>516</v>
      </c>
      <c r="B46" s="87" t="s">
        <v>517</v>
      </c>
      <c r="C46" s="231"/>
      <c r="D46" s="231"/>
      <c r="E46" s="88">
        <v>200</v>
      </c>
      <c r="F46" s="231">
        <v>2660</v>
      </c>
      <c r="G46" s="88">
        <f t="shared" si="4"/>
        <v>2860</v>
      </c>
      <c r="H46" s="88"/>
    </row>
    <row r="47" spans="1:8" s="89" customFormat="1" ht="26.1" customHeight="1">
      <c r="A47" s="86" t="s">
        <v>518</v>
      </c>
      <c r="B47" s="87" t="s">
        <v>406</v>
      </c>
      <c r="C47" s="231"/>
      <c r="D47" s="231"/>
      <c r="E47" s="88">
        <v>10</v>
      </c>
      <c r="F47" s="231">
        <v>118</v>
      </c>
      <c r="G47" s="88">
        <f t="shared" si="4"/>
        <v>128</v>
      </c>
      <c r="H47" s="88"/>
    </row>
    <row r="48" spans="1:8" s="89" customFormat="1" ht="26.1" customHeight="1">
      <c r="A48" s="86" t="s">
        <v>519</v>
      </c>
      <c r="B48" s="87" t="s">
        <v>346</v>
      </c>
      <c r="C48" s="231"/>
      <c r="D48" s="231"/>
      <c r="E48" s="88">
        <v>10</v>
      </c>
      <c r="F48" s="231">
        <v>43</v>
      </c>
      <c r="G48" s="88">
        <f t="shared" si="4"/>
        <v>53</v>
      </c>
      <c r="H48" s="88"/>
    </row>
    <row r="49" spans="1:8" s="89" customFormat="1" ht="26.1" customHeight="1">
      <c r="A49" s="86" t="s">
        <v>520</v>
      </c>
      <c r="B49" s="87" t="s">
        <v>521</v>
      </c>
      <c r="C49" s="231"/>
      <c r="D49" s="231"/>
      <c r="E49" s="88">
        <v>10</v>
      </c>
      <c r="F49" s="231">
        <v>43</v>
      </c>
      <c r="G49" s="88">
        <f t="shared" si="4"/>
        <v>53</v>
      </c>
      <c r="H49" s="88"/>
    </row>
    <row r="50" spans="1:8" s="89" customFormat="1" ht="26.1" customHeight="1">
      <c r="A50" s="86" t="s">
        <v>522</v>
      </c>
      <c r="B50" s="87" t="s">
        <v>436</v>
      </c>
      <c r="C50" s="231"/>
      <c r="D50" s="231"/>
      <c r="E50" s="88">
        <v>10</v>
      </c>
      <c r="F50" s="231">
        <v>64</v>
      </c>
      <c r="G50" s="88">
        <f t="shared" si="4"/>
        <v>74</v>
      </c>
      <c r="H50" s="88"/>
    </row>
    <row r="51" spans="1:8" s="89" customFormat="1" ht="26.1" customHeight="1">
      <c r="A51" s="86" t="s">
        <v>523</v>
      </c>
      <c r="B51" s="87" t="s">
        <v>435</v>
      </c>
      <c r="C51" s="231"/>
      <c r="D51" s="231"/>
      <c r="E51" s="88">
        <v>10</v>
      </c>
      <c r="F51" s="231">
        <v>107</v>
      </c>
      <c r="G51" s="88">
        <f t="shared" si="4"/>
        <v>117</v>
      </c>
      <c r="H51" s="88"/>
    </row>
    <row r="52" spans="1:8" s="89" customFormat="1" ht="26.1" customHeight="1">
      <c r="A52" s="86" t="s">
        <v>524</v>
      </c>
      <c r="B52" s="87" t="s">
        <v>525</v>
      </c>
      <c r="C52" s="231"/>
      <c r="D52" s="231"/>
      <c r="E52" s="88">
        <v>210</v>
      </c>
      <c r="F52" s="231">
        <v>75</v>
      </c>
      <c r="G52" s="88">
        <f t="shared" si="4"/>
        <v>285</v>
      </c>
      <c r="H52" s="88"/>
    </row>
    <row r="53" spans="1:8" s="89" customFormat="1" ht="26.1" customHeight="1">
      <c r="A53" s="86" t="s">
        <v>526</v>
      </c>
      <c r="B53" s="87" t="s">
        <v>527</v>
      </c>
      <c r="C53" s="231"/>
      <c r="D53" s="231"/>
      <c r="E53" s="88">
        <v>10</v>
      </c>
      <c r="F53" s="231">
        <v>64</v>
      </c>
      <c r="G53" s="88">
        <f t="shared" si="4"/>
        <v>74</v>
      </c>
      <c r="H53" s="88"/>
    </row>
    <row r="54" spans="1:8" s="89" customFormat="1" ht="26.1" customHeight="1">
      <c r="A54" s="86" t="s">
        <v>528</v>
      </c>
      <c r="B54" s="87" t="s">
        <v>529</v>
      </c>
      <c r="C54" s="231"/>
      <c r="D54" s="231"/>
      <c r="E54" s="88">
        <v>10</v>
      </c>
      <c r="F54" s="231">
        <v>75</v>
      </c>
      <c r="G54" s="88">
        <f t="shared" si="4"/>
        <v>85</v>
      </c>
      <c r="H54" s="88"/>
    </row>
    <row r="55" spans="1:8" s="89" customFormat="1" ht="26.1" customHeight="1">
      <c r="A55" s="86" t="s">
        <v>530</v>
      </c>
      <c r="B55" s="87" t="s">
        <v>531</v>
      </c>
      <c r="C55" s="231"/>
      <c r="D55" s="231"/>
      <c r="E55" s="88">
        <v>10</v>
      </c>
      <c r="F55" s="231">
        <v>214</v>
      </c>
      <c r="G55" s="88">
        <f t="shared" si="4"/>
        <v>224</v>
      </c>
      <c r="H55" s="88"/>
    </row>
    <row r="56" spans="1:8" s="89" customFormat="1" ht="26.1" customHeight="1">
      <c r="A56" s="86" t="s">
        <v>532</v>
      </c>
      <c r="B56" s="87" t="s">
        <v>349</v>
      </c>
      <c r="C56" s="231"/>
      <c r="D56" s="231"/>
      <c r="E56" s="88">
        <v>10</v>
      </c>
      <c r="F56" s="231">
        <v>171</v>
      </c>
      <c r="G56" s="88">
        <f t="shared" si="4"/>
        <v>181</v>
      </c>
      <c r="H56" s="88"/>
    </row>
    <row r="57" spans="1:8" s="89" customFormat="1" ht="26.1" customHeight="1">
      <c r="A57" s="86" t="s">
        <v>533</v>
      </c>
      <c r="B57" s="87" t="s">
        <v>342</v>
      </c>
      <c r="C57" s="231"/>
      <c r="D57" s="231"/>
      <c r="E57" s="88">
        <v>10</v>
      </c>
      <c r="F57" s="231">
        <v>43</v>
      </c>
      <c r="G57" s="88">
        <f t="shared" si="4"/>
        <v>53</v>
      </c>
      <c r="H57" s="88"/>
    </row>
    <row r="58" spans="1:8" s="89" customFormat="1" ht="39.9" customHeight="1">
      <c r="A58" s="86" t="s">
        <v>534</v>
      </c>
      <c r="B58" s="87" t="s">
        <v>535</v>
      </c>
      <c r="C58" s="231"/>
      <c r="D58" s="231"/>
      <c r="E58" s="88">
        <v>0</v>
      </c>
      <c r="F58" s="231">
        <v>150</v>
      </c>
      <c r="G58" s="88">
        <f t="shared" si="4"/>
        <v>150</v>
      </c>
      <c r="H58" s="88"/>
    </row>
    <row r="59" spans="1:8" s="89" customFormat="1" ht="26.1" customHeight="1">
      <c r="A59" s="86" t="s">
        <v>536</v>
      </c>
      <c r="B59" s="87" t="s">
        <v>351</v>
      </c>
      <c r="C59" s="231"/>
      <c r="D59" s="231"/>
      <c r="E59" s="88">
        <v>10</v>
      </c>
      <c r="F59" s="231">
        <v>54</v>
      </c>
      <c r="G59" s="88">
        <f t="shared" si="4"/>
        <v>64</v>
      </c>
      <c r="H59" s="88"/>
    </row>
    <row r="60" spans="1:8" s="89" customFormat="1" ht="26.1" customHeight="1">
      <c r="A60" s="86" t="s">
        <v>537</v>
      </c>
      <c r="B60" s="87" t="s">
        <v>361</v>
      </c>
      <c r="C60" s="231"/>
      <c r="D60" s="231"/>
      <c r="E60" s="88">
        <v>10</v>
      </c>
      <c r="F60" s="231">
        <v>43</v>
      </c>
      <c r="G60" s="88">
        <f t="shared" si="4"/>
        <v>53</v>
      </c>
      <c r="H60" s="88"/>
    </row>
    <row r="61" spans="1:8" s="89" customFormat="1" ht="41.1" customHeight="1">
      <c r="A61" s="86" t="s">
        <v>538</v>
      </c>
      <c r="B61" s="87" t="s">
        <v>540</v>
      </c>
      <c r="C61" s="88">
        <f t="shared" ref="C61:F61" si="5">C62+C63+C64</f>
        <v>0</v>
      </c>
      <c r="D61" s="88">
        <f t="shared" si="5"/>
        <v>0</v>
      </c>
      <c r="E61" s="88">
        <f t="shared" si="5"/>
        <v>480</v>
      </c>
      <c r="F61" s="88">
        <f t="shared" si="5"/>
        <v>500</v>
      </c>
      <c r="G61" s="88">
        <f>G62+G63+G64</f>
        <v>980</v>
      </c>
      <c r="H61" s="88"/>
    </row>
    <row r="62" spans="1:8" s="89" customFormat="1" ht="26.1" customHeight="1">
      <c r="A62" s="86"/>
      <c r="B62" s="87" t="s">
        <v>541</v>
      </c>
      <c r="C62" s="231"/>
      <c r="D62" s="231"/>
      <c r="E62" s="88">
        <v>420</v>
      </c>
      <c r="F62" s="231"/>
      <c r="G62" s="88">
        <f t="shared" si="4"/>
        <v>420</v>
      </c>
      <c r="H62" s="88"/>
    </row>
    <row r="63" spans="1:8" s="89" customFormat="1" ht="39.9" customHeight="1">
      <c r="A63" s="86"/>
      <c r="B63" s="232" t="s">
        <v>707</v>
      </c>
      <c r="C63" s="231"/>
      <c r="D63" s="231"/>
      <c r="E63" s="88"/>
      <c r="F63" s="231">
        <v>500</v>
      </c>
      <c r="G63" s="88">
        <f t="shared" si="4"/>
        <v>500</v>
      </c>
      <c r="H63" s="88"/>
    </row>
    <row r="64" spans="1:8" s="89" customFormat="1" ht="26.1" customHeight="1">
      <c r="A64" s="86"/>
      <c r="B64" s="232" t="s">
        <v>708</v>
      </c>
      <c r="C64" s="231"/>
      <c r="D64" s="231"/>
      <c r="E64" s="88">
        <v>60</v>
      </c>
      <c r="F64" s="231"/>
      <c r="G64" s="88">
        <f t="shared" si="4"/>
        <v>60</v>
      </c>
      <c r="H64" s="88"/>
    </row>
    <row r="65" spans="1:8" s="89" customFormat="1" ht="26.1" customHeight="1">
      <c r="A65" s="86" t="s">
        <v>539</v>
      </c>
      <c r="B65" s="87" t="s">
        <v>543</v>
      </c>
      <c r="C65" s="231"/>
      <c r="D65" s="231"/>
      <c r="E65" s="88">
        <v>10</v>
      </c>
      <c r="F65" s="231">
        <v>75</v>
      </c>
      <c r="G65" s="88">
        <f t="shared" si="4"/>
        <v>85</v>
      </c>
      <c r="H65" s="88"/>
    </row>
    <row r="66" spans="1:8" s="89" customFormat="1" ht="26.1" customHeight="1">
      <c r="A66" s="86" t="s">
        <v>542</v>
      </c>
      <c r="B66" s="87" t="s">
        <v>343</v>
      </c>
      <c r="C66" s="231"/>
      <c r="D66" s="231"/>
      <c r="E66" s="88">
        <v>10</v>
      </c>
      <c r="F66" s="231">
        <v>54</v>
      </c>
      <c r="G66" s="88">
        <f t="shared" si="4"/>
        <v>64</v>
      </c>
      <c r="H66" s="88"/>
    </row>
    <row r="67" spans="1:8" s="89" customFormat="1" ht="26.1" customHeight="1">
      <c r="A67" s="86" t="s">
        <v>544</v>
      </c>
      <c r="B67" s="87" t="s">
        <v>546</v>
      </c>
      <c r="C67" s="231"/>
      <c r="D67" s="231"/>
      <c r="E67" s="88">
        <v>10</v>
      </c>
      <c r="F67" s="231">
        <v>43</v>
      </c>
      <c r="G67" s="88">
        <f t="shared" si="4"/>
        <v>53</v>
      </c>
      <c r="H67" s="88"/>
    </row>
    <row r="68" spans="1:8" s="89" customFormat="1" ht="26.1" customHeight="1">
      <c r="A68" s="86" t="s">
        <v>545</v>
      </c>
      <c r="B68" s="87" t="s">
        <v>548</v>
      </c>
      <c r="C68" s="231"/>
      <c r="D68" s="231"/>
      <c r="E68" s="88">
        <v>-36</v>
      </c>
      <c r="F68" s="231">
        <v>86</v>
      </c>
      <c r="G68" s="88">
        <f t="shared" si="4"/>
        <v>50</v>
      </c>
      <c r="H68" s="88"/>
    </row>
    <row r="69" spans="1:8" s="89" customFormat="1" ht="41.1" customHeight="1">
      <c r="A69" s="86" t="s">
        <v>547</v>
      </c>
      <c r="B69" s="87" t="s">
        <v>709</v>
      </c>
      <c r="C69" s="231"/>
      <c r="D69" s="231"/>
      <c r="E69" s="88"/>
      <c r="F69" s="231">
        <v>600</v>
      </c>
      <c r="G69" s="88">
        <f t="shared" si="4"/>
        <v>600</v>
      </c>
      <c r="H69" s="88"/>
    </row>
    <row r="70" spans="1:8" s="89" customFormat="1" ht="26.1" customHeight="1">
      <c r="A70" s="86" t="s">
        <v>549</v>
      </c>
      <c r="B70" s="87" t="s">
        <v>360</v>
      </c>
      <c r="C70" s="231"/>
      <c r="D70" s="231"/>
      <c r="E70" s="88">
        <v>125</v>
      </c>
      <c r="F70" s="231">
        <v>375</v>
      </c>
      <c r="G70" s="88">
        <f t="shared" si="4"/>
        <v>500</v>
      </c>
      <c r="H70" s="88"/>
    </row>
    <row r="71" spans="1:8" s="89" customFormat="1" ht="26.1" customHeight="1">
      <c r="A71" s="86" t="s">
        <v>550</v>
      </c>
      <c r="B71" s="87" t="s">
        <v>552</v>
      </c>
      <c r="C71" s="231"/>
      <c r="D71" s="231"/>
      <c r="E71" s="88">
        <v>20</v>
      </c>
      <c r="F71" s="231">
        <v>150</v>
      </c>
      <c r="G71" s="88">
        <f t="shared" si="4"/>
        <v>170</v>
      </c>
      <c r="H71" s="88"/>
    </row>
    <row r="72" spans="1:8" s="89" customFormat="1" ht="26.1" customHeight="1">
      <c r="A72" s="86" t="s">
        <v>551</v>
      </c>
      <c r="B72" s="87" t="s">
        <v>554</v>
      </c>
      <c r="C72" s="231"/>
      <c r="D72" s="231"/>
      <c r="E72" s="88">
        <v>10</v>
      </c>
      <c r="F72" s="231">
        <v>321</v>
      </c>
      <c r="G72" s="88">
        <f t="shared" si="4"/>
        <v>331</v>
      </c>
      <c r="H72" s="88"/>
    </row>
    <row r="73" spans="1:8" s="89" customFormat="1" ht="26.1" customHeight="1">
      <c r="A73" s="86" t="s">
        <v>553</v>
      </c>
      <c r="B73" s="87" t="s">
        <v>556</v>
      </c>
      <c r="C73" s="231"/>
      <c r="D73" s="231"/>
      <c r="E73" s="88">
        <v>10</v>
      </c>
      <c r="F73" s="231">
        <v>64</v>
      </c>
      <c r="G73" s="88">
        <f t="shared" si="4"/>
        <v>74</v>
      </c>
      <c r="H73" s="88"/>
    </row>
    <row r="74" spans="1:8" s="89" customFormat="1" ht="26.1" customHeight="1">
      <c r="A74" s="86" t="s">
        <v>555</v>
      </c>
      <c r="B74" s="87" t="s">
        <v>441</v>
      </c>
      <c r="C74" s="231"/>
      <c r="D74" s="231"/>
      <c r="E74" s="88">
        <v>10</v>
      </c>
      <c r="F74" s="231">
        <v>64</v>
      </c>
      <c r="G74" s="88">
        <f t="shared" si="4"/>
        <v>74</v>
      </c>
      <c r="H74" s="88"/>
    </row>
    <row r="75" spans="1:8" s="89" customFormat="1" ht="26.1" customHeight="1">
      <c r="A75" s="86" t="s">
        <v>557</v>
      </c>
      <c r="B75" s="87" t="s">
        <v>559</v>
      </c>
      <c r="C75" s="231"/>
      <c r="D75" s="231"/>
      <c r="E75" s="88">
        <v>30</v>
      </c>
      <c r="F75" s="231">
        <v>118</v>
      </c>
      <c r="G75" s="88">
        <f t="shared" si="4"/>
        <v>148</v>
      </c>
      <c r="H75" s="88"/>
    </row>
    <row r="76" spans="1:8" s="89" customFormat="1" ht="26.1" customHeight="1">
      <c r="A76" s="86" t="s">
        <v>558</v>
      </c>
      <c r="B76" s="87" t="s">
        <v>442</v>
      </c>
      <c r="C76" s="231"/>
      <c r="D76" s="231"/>
      <c r="E76" s="88">
        <v>6</v>
      </c>
      <c r="F76" s="231">
        <v>54</v>
      </c>
      <c r="G76" s="88">
        <f t="shared" si="4"/>
        <v>60</v>
      </c>
      <c r="H76" s="88"/>
    </row>
    <row r="77" spans="1:8" s="89" customFormat="1" ht="26.1" customHeight="1">
      <c r="A77" s="86" t="s">
        <v>560</v>
      </c>
      <c r="B77" s="87" t="s">
        <v>448</v>
      </c>
      <c r="C77" s="231"/>
      <c r="D77" s="231"/>
      <c r="E77" s="88">
        <v>6</v>
      </c>
      <c r="F77" s="231">
        <v>54</v>
      </c>
      <c r="G77" s="88">
        <f t="shared" si="4"/>
        <v>60</v>
      </c>
      <c r="H77" s="88"/>
    </row>
    <row r="78" spans="1:8" s="89" customFormat="1" ht="26.1" customHeight="1">
      <c r="A78" s="86" t="s">
        <v>561</v>
      </c>
      <c r="B78" s="87" t="s">
        <v>563</v>
      </c>
      <c r="C78" s="231"/>
      <c r="D78" s="231"/>
      <c r="E78" s="88">
        <v>5</v>
      </c>
      <c r="F78" s="231">
        <v>75</v>
      </c>
      <c r="G78" s="88">
        <f t="shared" si="4"/>
        <v>80</v>
      </c>
      <c r="H78" s="88"/>
    </row>
    <row r="79" spans="1:8" s="89" customFormat="1" ht="26.1" customHeight="1">
      <c r="A79" s="86" t="s">
        <v>562</v>
      </c>
      <c r="B79" s="87" t="s">
        <v>565</v>
      </c>
      <c r="C79" s="231"/>
      <c r="D79" s="231"/>
      <c r="E79" s="88">
        <v>10</v>
      </c>
      <c r="F79" s="231">
        <v>214</v>
      </c>
      <c r="G79" s="88">
        <f t="shared" si="4"/>
        <v>224</v>
      </c>
      <c r="H79" s="88"/>
    </row>
    <row r="80" spans="1:8" s="89" customFormat="1" ht="26.1" customHeight="1">
      <c r="A80" s="86" t="s">
        <v>564</v>
      </c>
      <c r="B80" s="87" t="s">
        <v>567</v>
      </c>
      <c r="C80" s="231"/>
      <c r="D80" s="231"/>
      <c r="E80" s="88">
        <v>10</v>
      </c>
      <c r="F80" s="231">
        <v>161</v>
      </c>
      <c r="G80" s="88">
        <f t="shared" si="4"/>
        <v>171</v>
      </c>
      <c r="H80" s="88"/>
    </row>
    <row r="81" spans="1:8" s="89" customFormat="1" ht="39.9" customHeight="1">
      <c r="A81" s="86" t="s">
        <v>566</v>
      </c>
      <c r="B81" s="87" t="s">
        <v>569</v>
      </c>
      <c r="C81" s="231"/>
      <c r="D81" s="231"/>
      <c r="E81" s="88">
        <v>10</v>
      </c>
      <c r="F81" s="231">
        <v>268</v>
      </c>
      <c r="G81" s="88">
        <f t="shared" si="4"/>
        <v>278</v>
      </c>
      <c r="H81" s="88"/>
    </row>
    <row r="82" spans="1:8" s="89" customFormat="1" ht="26.1" customHeight="1">
      <c r="A82" s="86" t="s">
        <v>568</v>
      </c>
      <c r="B82" s="87" t="s">
        <v>710</v>
      </c>
      <c r="C82" s="231"/>
      <c r="D82" s="231"/>
      <c r="E82" s="88">
        <v>200</v>
      </c>
      <c r="F82" s="231"/>
      <c r="G82" s="88">
        <f t="shared" si="4"/>
        <v>200</v>
      </c>
      <c r="H82" s="88"/>
    </row>
    <row r="83" spans="1:8" s="89" customFormat="1" ht="39.9" customHeight="1">
      <c r="A83" s="86" t="s">
        <v>570</v>
      </c>
      <c r="B83" s="87" t="s">
        <v>711</v>
      </c>
      <c r="C83" s="231"/>
      <c r="D83" s="231"/>
      <c r="E83" s="88"/>
      <c r="F83" s="231">
        <v>7400</v>
      </c>
      <c r="G83" s="88">
        <f t="shared" si="4"/>
        <v>7400</v>
      </c>
      <c r="H83" s="88"/>
    </row>
    <row r="84" spans="1:8" s="89" customFormat="1" ht="26.1" customHeight="1">
      <c r="A84" s="86" t="s">
        <v>571</v>
      </c>
      <c r="B84" s="87" t="s">
        <v>572</v>
      </c>
      <c r="C84" s="231"/>
      <c r="D84" s="231"/>
      <c r="E84" s="88"/>
      <c r="F84" s="231">
        <v>3385</v>
      </c>
      <c r="G84" s="88">
        <f t="shared" si="4"/>
        <v>3385</v>
      </c>
      <c r="H84" s="88"/>
    </row>
    <row r="85" spans="1:8" s="93" customFormat="1" ht="26.1" customHeight="1">
      <c r="A85" s="90"/>
      <c r="B85" s="91" t="s">
        <v>338</v>
      </c>
      <c r="C85" s="92">
        <f t="shared" ref="C85:H85" si="6">SUM(C11,C14,C19,C24,C29,C32,C35,C38:C42,C45:C61,C65:C84)</f>
        <v>621</v>
      </c>
      <c r="D85" s="92">
        <f t="shared" si="6"/>
        <v>597</v>
      </c>
      <c r="E85" s="92">
        <f t="shared" si="6"/>
        <v>70787.399999999994</v>
      </c>
      <c r="F85" s="92">
        <f t="shared" si="6"/>
        <v>47715.199999999997</v>
      </c>
      <c r="G85" s="92">
        <f t="shared" si="6"/>
        <v>118502.59999999999</v>
      </c>
      <c r="H85" s="92">
        <f t="shared" si="6"/>
        <v>45600</v>
      </c>
    </row>
    <row r="86" spans="1:8" s="97" customFormat="1" ht="26.1" customHeight="1">
      <c r="A86" s="94"/>
      <c r="B86" s="95" t="s">
        <v>49</v>
      </c>
      <c r="C86" s="96"/>
      <c r="D86" s="96"/>
      <c r="E86" s="96"/>
      <c r="F86" s="96"/>
      <c r="G86" s="96"/>
      <c r="H86" s="96"/>
    </row>
    <row r="87" spans="1:8" s="89" customFormat="1" ht="26.1" customHeight="1">
      <c r="A87" s="86"/>
      <c r="B87" s="98" t="s">
        <v>573</v>
      </c>
      <c r="C87" s="88"/>
      <c r="D87" s="88"/>
      <c r="E87" s="88"/>
      <c r="F87" s="88"/>
      <c r="G87" s="88">
        <f>G85-G88</f>
        <v>114720.59999999999</v>
      </c>
      <c r="H87" s="88"/>
    </row>
    <row r="88" spans="1:8" s="89" customFormat="1" ht="26.1" customHeight="1">
      <c r="A88" s="86"/>
      <c r="B88" s="98" t="s">
        <v>574</v>
      </c>
      <c r="C88" s="88"/>
      <c r="D88" s="88"/>
      <c r="E88" s="88"/>
      <c r="F88" s="88"/>
      <c r="G88" s="88">
        <f>G18+G23+G28+G31+G34+G37</f>
        <v>3782</v>
      </c>
      <c r="H88" s="88"/>
    </row>
    <row r="89" spans="1:8">
      <c r="C89" s="318"/>
      <c r="D89" s="318"/>
    </row>
  </sheetData>
  <mergeCells count="16">
    <mergeCell ref="A1:B1"/>
    <mergeCell ref="C1:H1"/>
    <mergeCell ref="A2:B2"/>
    <mergeCell ref="C2:H2"/>
    <mergeCell ref="C89:D89"/>
    <mergeCell ref="A6:H6"/>
    <mergeCell ref="B8:B9"/>
    <mergeCell ref="A8:A9"/>
    <mergeCell ref="A4:H4"/>
    <mergeCell ref="A5:H5"/>
    <mergeCell ref="G7:H7"/>
    <mergeCell ref="C8:D8"/>
    <mergeCell ref="F8:F9"/>
    <mergeCell ref="G8:G9"/>
    <mergeCell ref="E8:E9"/>
    <mergeCell ref="H8:H9"/>
  </mergeCells>
  <phoneticPr fontId="3" type="noConversion"/>
  <pageMargins left="0.75" right="0" top="0.66" bottom="0.61" header="0.5" footer="0.2"/>
  <pageSetup paperSize="9" scale="95" orientation="portrait" r:id="rId1"/>
  <headerFooter alignWithMargins="0">
    <oddFooter>&amp;C&amp;P/4 (PL 04)</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view="pageBreakPreview" zoomScale="60" zoomScaleNormal="100" workbookViewId="0">
      <selection activeCell="J12" sqref="J12"/>
    </sheetView>
  </sheetViews>
  <sheetFormatPr defaultColWidth="9" defaultRowHeight="15.6"/>
  <cols>
    <col min="1" max="1" width="4.8984375" style="2" customWidth="1"/>
    <col min="2" max="2" width="16" style="2" customWidth="1"/>
    <col min="3" max="3" width="9.69921875" style="2" customWidth="1"/>
    <col min="4" max="8" width="8.09765625" style="2" customWidth="1"/>
    <col min="9" max="9" width="7.59765625" style="2" customWidth="1"/>
    <col min="10" max="11" width="8.09765625" style="2" customWidth="1"/>
    <col min="12" max="12" width="9.59765625" style="2" customWidth="1"/>
    <col min="13" max="14" width="8.09765625" style="2" customWidth="1"/>
    <col min="15" max="15" width="8.59765625" style="2" customWidth="1"/>
    <col min="16" max="16384" width="9" style="2"/>
  </cols>
  <sheetData>
    <row r="1" spans="1:15" ht="17.399999999999999">
      <c r="A1" s="312" t="s">
        <v>993</v>
      </c>
      <c r="B1" s="312"/>
      <c r="C1" s="312"/>
      <c r="D1" s="312"/>
      <c r="J1" s="312" t="s">
        <v>994</v>
      </c>
      <c r="K1" s="312"/>
      <c r="L1" s="312"/>
      <c r="M1" s="312"/>
      <c r="N1" s="312"/>
      <c r="O1" s="312"/>
    </row>
    <row r="2" spans="1:15" ht="17.399999999999999">
      <c r="A2" s="312" t="s">
        <v>999</v>
      </c>
      <c r="B2" s="312"/>
      <c r="C2" s="312"/>
      <c r="D2" s="312"/>
      <c r="J2" s="312" t="s">
        <v>998</v>
      </c>
      <c r="K2" s="312"/>
      <c r="L2" s="312"/>
      <c r="M2" s="312"/>
      <c r="N2" s="312"/>
      <c r="O2" s="312"/>
    </row>
    <row r="4" spans="1:15" s="1" customFormat="1" ht="23.1" customHeight="1">
      <c r="A4" s="325" t="s">
        <v>285</v>
      </c>
      <c r="B4" s="325"/>
      <c r="C4" s="325"/>
      <c r="D4" s="325"/>
      <c r="E4" s="325"/>
      <c r="F4" s="325"/>
      <c r="G4" s="325"/>
      <c r="H4" s="325"/>
      <c r="I4" s="325"/>
      <c r="J4" s="325"/>
      <c r="K4" s="325"/>
      <c r="L4" s="325"/>
      <c r="M4" s="325"/>
      <c r="N4" s="325"/>
      <c r="O4" s="325"/>
    </row>
    <row r="5" spans="1:15" s="1" customFormat="1" ht="23.1" customHeight="1">
      <c r="A5" s="326" t="s">
        <v>725</v>
      </c>
      <c r="B5" s="326"/>
      <c r="C5" s="326"/>
      <c r="D5" s="326"/>
      <c r="E5" s="326"/>
      <c r="F5" s="326"/>
      <c r="G5" s="326"/>
      <c r="H5" s="326"/>
      <c r="I5" s="326"/>
      <c r="J5" s="326"/>
      <c r="K5" s="326"/>
      <c r="L5" s="326"/>
      <c r="M5" s="326"/>
      <c r="N5" s="326"/>
      <c r="O5" s="326"/>
    </row>
    <row r="6" spans="1:15" s="1" customFormat="1" ht="23.1" customHeight="1">
      <c r="A6" s="329" t="s">
        <v>995</v>
      </c>
      <c r="B6" s="329"/>
      <c r="C6" s="329"/>
      <c r="D6" s="329"/>
      <c r="E6" s="329"/>
      <c r="F6" s="329"/>
      <c r="G6" s="329"/>
      <c r="H6" s="329"/>
      <c r="I6" s="329"/>
      <c r="J6" s="329"/>
      <c r="K6" s="329"/>
      <c r="L6" s="329"/>
      <c r="M6" s="329"/>
      <c r="N6" s="329"/>
      <c r="O6" s="329"/>
    </row>
    <row r="7" spans="1:15">
      <c r="M7" s="327" t="s">
        <v>0</v>
      </c>
      <c r="N7" s="327"/>
      <c r="O7" s="327"/>
    </row>
    <row r="8" spans="1:15" s="4" customFormat="1" ht="64.5" customHeight="1">
      <c r="A8" s="3" t="s">
        <v>28</v>
      </c>
      <c r="B8" s="3" t="s">
        <v>286</v>
      </c>
      <c r="C8" s="3" t="s">
        <v>287</v>
      </c>
      <c r="D8" s="3" t="s">
        <v>288</v>
      </c>
      <c r="E8" s="3" t="s">
        <v>289</v>
      </c>
      <c r="F8" s="3" t="s">
        <v>290</v>
      </c>
      <c r="G8" s="3" t="s">
        <v>291</v>
      </c>
      <c r="H8" s="3" t="s">
        <v>292</v>
      </c>
      <c r="I8" s="3" t="s">
        <v>293</v>
      </c>
      <c r="J8" s="3" t="s">
        <v>294</v>
      </c>
      <c r="K8" s="3" t="s">
        <v>295</v>
      </c>
      <c r="L8" s="3" t="s">
        <v>296</v>
      </c>
      <c r="M8" s="3" t="s">
        <v>297</v>
      </c>
      <c r="N8" s="3" t="s">
        <v>298</v>
      </c>
      <c r="O8" s="3" t="s">
        <v>299</v>
      </c>
    </row>
    <row r="9" spans="1:15" s="5" customFormat="1" ht="23.1" customHeight="1">
      <c r="A9" s="101">
        <v>1</v>
      </c>
      <c r="B9" s="102" t="s">
        <v>300</v>
      </c>
      <c r="C9" s="147">
        <f>SUM(D9:O9)</f>
        <v>135600</v>
      </c>
      <c r="D9" s="147">
        <v>5495</v>
      </c>
      <c r="E9" s="147"/>
      <c r="F9" s="148">
        <v>45500</v>
      </c>
      <c r="G9" s="147">
        <v>2840</v>
      </c>
      <c r="H9" s="147">
        <v>16800</v>
      </c>
      <c r="I9" s="147">
        <v>6090</v>
      </c>
      <c r="J9" s="147">
        <v>400</v>
      </c>
      <c r="K9" s="147">
        <v>4000</v>
      </c>
      <c r="L9" s="147">
        <v>19000</v>
      </c>
      <c r="M9" s="147">
        <v>26000</v>
      </c>
      <c r="N9" s="147">
        <v>5425</v>
      </c>
      <c r="O9" s="147">
        <v>4050</v>
      </c>
    </row>
    <row r="10" spans="1:15" s="5" customFormat="1" ht="23.1" customHeight="1">
      <c r="A10" s="101">
        <v>2</v>
      </c>
      <c r="B10" s="102" t="s">
        <v>649</v>
      </c>
      <c r="C10" s="149">
        <f>SUM(D10:O10)</f>
        <v>720000</v>
      </c>
      <c r="D10" s="149">
        <v>30100</v>
      </c>
      <c r="E10" s="149">
        <v>158000</v>
      </c>
      <c r="F10" s="149">
        <v>220795</v>
      </c>
      <c r="G10" s="147">
        <v>12070</v>
      </c>
      <c r="H10" s="147">
        <v>41088</v>
      </c>
      <c r="I10" s="147">
        <v>10197</v>
      </c>
      <c r="J10" s="147">
        <v>800</v>
      </c>
      <c r="K10" s="147">
        <v>96768</v>
      </c>
      <c r="L10" s="147">
        <v>52700</v>
      </c>
      <c r="M10" s="147">
        <v>85000</v>
      </c>
      <c r="N10" s="147">
        <v>5046</v>
      </c>
      <c r="O10" s="147">
        <v>7436</v>
      </c>
    </row>
    <row r="11" spans="1:15" s="5" customFormat="1" ht="23.1" customHeight="1">
      <c r="A11" s="101">
        <v>3</v>
      </c>
      <c r="B11" s="102" t="s">
        <v>301</v>
      </c>
      <c r="C11" s="147">
        <f>SUM(D11:O11)</f>
        <v>190000</v>
      </c>
      <c r="D11" s="148">
        <v>18944</v>
      </c>
      <c r="E11" s="147"/>
      <c r="F11" s="148">
        <v>46000</v>
      </c>
      <c r="G11" s="147">
        <v>8520</v>
      </c>
      <c r="H11" s="147">
        <v>26600</v>
      </c>
      <c r="I11" s="148">
        <v>6250</v>
      </c>
      <c r="J11" s="147">
        <v>700</v>
      </c>
      <c r="K11" s="147">
        <v>5000</v>
      </c>
      <c r="L11" s="147">
        <v>8000</v>
      </c>
      <c r="M11" s="148">
        <v>56000</v>
      </c>
      <c r="N11" s="147">
        <v>11204</v>
      </c>
      <c r="O11" s="148">
        <v>2782</v>
      </c>
    </row>
    <row r="12" spans="1:15" s="5" customFormat="1" ht="23.1" customHeight="1">
      <c r="A12" s="101">
        <v>4</v>
      </c>
      <c r="B12" s="102" t="s">
        <v>302</v>
      </c>
      <c r="C12" s="147">
        <f>SUM(D12:O12)</f>
        <v>870000</v>
      </c>
      <c r="D12" s="149">
        <v>50856</v>
      </c>
      <c r="E12" s="147"/>
      <c r="F12" s="148">
        <v>209000</v>
      </c>
      <c r="G12" s="147">
        <v>36644</v>
      </c>
      <c r="H12" s="147">
        <v>174000</v>
      </c>
      <c r="I12" s="147">
        <v>9425</v>
      </c>
      <c r="J12" s="147">
        <v>6000</v>
      </c>
      <c r="K12" s="147">
        <v>35000</v>
      </c>
      <c r="L12" s="147"/>
      <c r="M12" s="149">
        <v>286000</v>
      </c>
      <c r="N12" s="147">
        <v>2325</v>
      </c>
      <c r="O12" s="148">
        <v>60750</v>
      </c>
    </row>
    <row r="13" spans="1:15" s="5" customFormat="1" ht="23.1" customHeight="1">
      <c r="A13" s="101">
        <v>5</v>
      </c>
      <c r="B13" s="102" t="s">
        <v>303</v>
      </c>
      <c r="C13" s="147">
        <f t="shared" ref="C13:C21" si="0">SUM(D13:O13)</f>
        <v>274700</v>
      </c>
      <c r="D13" s="147">
        <v>9690</v>
      </c>
      <c r="E13" s="147"/>
      <c r="F13" s="147">
        <v>46500</v>
      </c>
      <c r="G13" s="147">
        <v>5680</v>
      </c>
      <c r="H13" s="147">
        <v>21574</v>
      </c>
      <c r="I13" s="147">
        <v>6525</v>
      </c>
      <c r="J13" s="147">
        <v>800</v>
      </c>
      <c r="K13" s="147">
        <v>5000</v>
      </c>
      <c r="L13" s="147">
        <v>121000</v>
      </c>
      <c r="M13" s="149">
        <v>46000</v>
      </c>
      <c r="N13" s="148">
        <v>7881</v>
      </c>
      <c r="O13" s="147">
        <v>4050</v>
      </c>
    </row>
    <row r="14" spans="1:15" s="5" customFormat="1" ht="23.1" customHeight="1">
      <c r="A14" s="101">
        <v>6</v>
      </c>
      <c r="B14" s="102" t="s">
        <v>304</v>
      </c>
      <c r="C14" s="147">
        <f t="shared" si="0"/>
        <v>152000</v>
      </c>
      <c r="D14" s="147">
        <v>16795</v>
      </c>
      <c r="E14" s="147"/>
      <c r="F14" s="148">
        <v>35800</v>
      </c>
      <c r="G14" s="147">
        <v>4260</v>
      </c>
      <c r="H14" s="147">
        <v>14000</v>
      </c>
      <c r="I14" s="148">
        <v>11670</v>
      </c>
      <c r="J14" s="147">
        <v>400</v>
      </c>
      <c r="K14" s="147">
        <v>3000</v>
      </c>
      <c r="L14" s="147">
        <v>7000</v>
      </c>
      <c r="M14" s="147">
        <v>47000</v>
      </c>
      <c r="N14" s="147">
        <v>4650</v>
      </c>
      <c r="O14" s="147">
        <v>7425</v>
      </c>
    </row>
    <row r="15" spans="1:15" s="5" customFormat="1" ht="23.1" customHeight="1">
      <c r="A15" s="101">
        <v>7</v>
      </c>
      <c r="B15" s="102" t="s">
        <v>305</v>
      </c>
      <c r="C15" s="147">
        <f t="shared" si="0"/>
        <v>152300</v>
      </c>
      <c r="D15" s="149">
        <v>10955</v>
      </c>
      <c r="E15" s="147"/>
      <c r="F15" s="149">
        <v>36000</v>
      </c>
      <c r="G15" s="147">
        <v>4260</v>
      </c>
      <c r="H15" s="148">
        <v>16941</v>
      </c>
      <c r="I15" s="147">
        <v>5800</v>
      </c>
      <c r="J15" s="147">
        <v>400</v>
      </c>
      <c r="K15" s="147">
        <v>5000</v>
      </c>
      <c r="L15" s="147">
        <v>2000</v>
      </c>
      <c r="M15" s="149">
        <v>58000</v>
      </c>
      <c r="N15" s="148">
        <v>9219</v>
      </c>
      <c r="O15" s="148">
        <v>3725</v>
      </c>
    </row>
    <row r="16" spans="1:15" s="5" customFormat="1" ht="23.1" customHeight="1">
      <c r="A16" s="101">
        <v>8</v>
      </c>
      <c r="B16" s="102" t="s">
        <v>306</v>
      </c>
      <c r="C16" s="149">
        <f t="shared" si="0"/>
        <v>146900</v>
      </c>
      <c r="D16" s="148">
        <v>33100</v>
      </c>
      <c r="E16" s="147"/>
      <c r="F16" s="149">
        <v>41000</v>
      </c>
      <c r="G16" s="147">
        <v>5680</v>
      </c>
      <c r="H16" s="147">
        <v>17445</v>
      </c>
      <c r="I16" s="149">
        <v>6140</v>
      </c>
      <c r="J16" s="147">
        <v>800</v>
      </c>
      <c r="K16" s="147">
        <v>7000</v>
      </c>
      <c r="L16" s="147">
        <v>5000</v>
      </c>
      <c r="M16" s="149">
        <v>23000</v>
      </c>
      <c r="N16" s="148">
        <v>3735</v>
      </c>
      <c r="O16" s="149">
        <v>4000</v>
      </c>
    </row>
    <row r="17" spans="1:15" s="5" customFormat="1" ht="23.1" customHeight="1">
      <c r="A17" s="101">
        <v>9</v>
      </c>
      <c r="B17" s="102" t="s">
        <v>307</v>
      </c>
      <c r="C17" s="149">
        <f>SUM(D17:O17)</f>
        <v>92900</v>
      </c>
      <c r="D17" s="149">
        <v>2427</v>
      </c>
      <c r="E17" s="147"/>
      <c r="F17" s="147">
        <v>37500</v>
      </c>
      <c r="G17" s="147">
        <v>3834</v>
      </c>
      <c r="H17" s="147">
        <v>13000</v>
      </c>
      <c r="I17" s="147">
        <v>4709</v>
      </c>
      <c r="J17" s="147">
        <v>250</v>
      </c>
      <c r="K17" s="147">
        <v>1500</v>
      </c>
      <c r="L17" s="147">
        <v>5000</v>
      </c>
      <c r="M17" s="147">
        <v>17000</v>
      </c>
      <c r="N17" s="149">
        <v>3900</v>
      </c>
      <c r="O17" s="147">
        <v>3780</v>
      </c>
    </row>
    <row r="18" spans="1:15" s="5" customFormat="1" ht="23.1" customHeight="1">
      <c r="A18" s="101">
        <v>10</v>
      </c>
      <c r="B18" s="102" t="s">
        <v>308</v>
      </c>
      <c r="C18" s="147">
        <f t="shared" si="0"/>
        <v>89000</v>
      </c>
      <c r="D18" s="147">
        <v>14246</v>
      </c>
      <c r="E18" s="147"/>
      <c r="F18" s="148">
        <v>28784</v>
      </c>
      <c r="G18" s="147">
        <v>3550</v>
      </c>
      <c r="H18" s="147">
        <v>11900</v>
      </c>
      <c r="I18" s="147">
        <v>6670</v>
      </c>
      <c r="J18" s="147">
        <v>100</v>
      </c>
      <c r="K18" s="147">
        <v>500</v>
      </c>
      <c r="L18" s="147">
        <v>3000</v>
      </c>
      <c r="M18" s="148">
        <v>12000</v>
      </c>
      <c r="N18" s="148">
        <v>4200</v>
      </c>
      <c r="O18" s="147">
        <v>4050</v>
      </c>
    </row>
    <row r="19" spans="1:15" s="5" customFormat="1" ht="23.1" customHeight="1">
      <c r="A19" s="101">
        <v>11</v>
      </c>
      <c r="B19" s="102" t="s">
        <v>309</v>
      </c>
      <c r="C19" s="147">
        <f t="shared" si="0"/>
        <v>165000</v>
      </c>
      <c r="D19" s="147">
        <v>4000</v>
      </c>
      <c r="E19" s="147"/>
      <c r="F19" s="147">
        <v>58800</v>
      </c>
      <c r="G19" s="147">
        <v>4970</v>
      </c>
      <c r="H19" s="147">
        <v>23800</v>
      </c>
      <c r="I19" s="147">
        <v>6090</v>
      </c>
      <c r="J19" s="147">
        <v>1100</v>
      </c>
      <c r="K19" s="147">
        <v>7432</v>
      </c>
      <c r="L19" s="147">
        <v>3000</v>
      </c>
      <c r="M19" s="149">
        <v>46000</v>
      </c>
      <c r="N19" s="147">
        <v>2325</v>
      </c>
      <c r="O19" s="147">
        <v>7483</v>
      </c>
    </row>
    <row r="20" spans="1:15" s="5" customFormat="1" ht="23.1" customHeight="1">
      <c r="A20" s="101">
        <v>12</v>
      </c>
      <c r="B20" s="102" t="s">
        <v>310</v>
      </c>
      <c r="C20" s="149">
        <f t="shared" si="0"/>
        <v>60400</v>
      </c>
      <c r="D20" s="149">
        <v>10790</v>
      </c>
      <c r="E20" s="147"/>
      <c r="F20" s="148">
        <v>31179</v>
      </c>
      <c r="G20" s="147">
        <v>1136</v>
      </c>
      <c r="H20" s="147">
        <v>4620</v>
      </c>
      <c r="I20" s="147">
        <v>2900</v>
      </c>
      <c r="J20" s="147">
        <v>50</v>
      </c>
      <c r="K20" s="147">
        <v>100</v>
      </c>
      <c r="L20" s="147">
        <v>1000</v>
      </c>
      <c r="M20" s="147">
        <v>4000</v>
      </c>
      <c r="N20" s="147">
        <v>2015</v>
      </c>
      <c r="O20" s="148">
        <v>2610</v>
      </c>
    </row>
    <row r="21" spans="1:15" s="5" customFormat="1" ht="23.1" customHeight="1">
      <c r="A21" s="101">
        <v>13</v>
      </c>
      <c r="B21" s="102" t="s">
        <v>311</v>
      </c>
      <c r="C21" s="149">
        <f t="shared" si="0"/>
        <v>99900</v>
      </c>
      <c r="D21" s="149">
        <v>3864</v>
      </c>
      <c r="E21" s="149"/>
      <c r="F21" s="148">
        <v>22500</v>
      </c>
      <c r="G21" s="149">
        <v>2556</v>
      </c>
      <c r="H21" s="149">
        <v>13232</v>
      </c>
      <c r="I21" s="149">
        <v>2773</v>
      </c>
      <c r="J21" s="149">
        <v>200</v>
      </c>
      <c r="K21" s="148">
        <v>3700</v>
      </c>
      <c r="L21" s="149">
        <v>1300</v>
      </c>
      <c r="M21" s="149">
        <v>44000</v>
      </c>
      <c r="N21" s="149">
        <v>3075</v>
      </c>
      <c r="O21" s="149">
        <v>2700</v>
      </c>
    </row>
    <row r="22" spans="1:15" s="6" customFormat="1" ht="23.1" customHeight="1">
      <c r="A22" s="328" t="s">
        <v>287</v>
      </c>
      <c r="B22" s="328"/>
      <c r="C22" s="146">
        <f>SUM(C9:C21)</f>
        <v>3148700</v>
      </c>
      <c r="D22" s="146">
        <f t="shared" ref="D22:O22" si="1">SUM(D9:D21)</f>
        <v>211262</v>
      </c>
      <c r="E22" s="146">
        <f t="shared" si="1"/>
        <v>158000</v>
      </c>
      <c r="F22" s="146">
        <f t="shared" si="1"/>
        <v>859358</v>
      </c>
      <c r="G22" s="146">
        <f t="shared" si="1"/>
        <v>96000</v>
      </c>
      <c r="H22" s="146">
        <f t="shared" si="1"/>
        <v>395000</v>
      </c>
      <c r="I22" s="146">
        <f>SUM(I9:I21)</f>
        <v>85239</v>
      </c>
      <c r="J22" s="146">
        <f t="shared" si="1"/>
        <v>12000</v>
      </c>
      <c r="K22" s="146">
        <f t="shared" si="1"/>
        <v>174000</v>
      </c>
      <c r="L22" s="146">
        <f t="shared" si="1"/>
        <v>228000</v>
      </c>
      <c r="M22" s="146">
        <f t="shared" si="1"/>
        <v>750000</v>
      </c>
      <c r="N22" s="146">
        <f t="shared" si="1"/>
        <v>65000</v>
      </c>
      <c r="O22" s="146">
        <f t="shared" si="1"/>
        <v>114841</v>
      </c>
    </row>
    <row r="23" spans="1:15" hidden="1">
      <c r="A23" s="7"/>
      <c r="D23" s="2">
        <f>'[1]Giao DT 2015'!H10</f>
        <v>100800</v>
      </c>
      <c r="E23" s="2">
        <f>'[1]Giao DT 2015'!H11</f>
        <v>332000</v>
      </c>
      <c r="F23" s="2">
        <f>'[1]Giao DT 2015'!H12</f>
        <v>792700</v>
      </c>
      <c r="G23" s="2">
        <f>'[1]Giao DT 2015'!H14</f>
        <v>65000</v>
      </c>
      <c r="H23" s="2">
        <f>'[1]Giao DT 2015'!H15</f>
        <v>300000</v>
      </c>
      <c r="I23" s="2">
        <f>'[1]Giao DT 2015'!H16</f>
        <v>83600</v>
      </c>
      <c r="J23" s="2">
        <f>'[1]Giao DT 2015'!H17</f>
        <v>11000</v>
      </c>
      <c r="K23" s="2">
        <f>'[1]Giao DT 2015'!H19</f>
        <v>83000</v>
      </c>
      <c r="L23" s="2">
        <f>'[1]Giao DT 2015'!H18</f>
        <v>195800</v>
      </c>
      <c r="M23" s="2">
        <f>'[1]Giao DT 2015'!H20</f>
        <v>750000</v>
      </c>
      <c r="N23" s="2">
        <f>'[1]Giao DT 2015'!H21</f>
        <v>70000</v>
      </c>
      <c r="O23" s="2">
        <f>'[1]Giao DT 2015'!H22</f>
        <v>111900</v>
      </c>
    </row>
    <row r="24" spans="1:15" hidden="1">
      <c r="A24" s="7"/>
      <c r="D24" s="2">
        <f t="shared" ref="D24:O24" si="2">D23-D22</f>
        <v>-110462</v>
      </c>
      <c r="E24" s="2">
        <f t="shared" si="2"/>
        <v>174000</v>
      </c>
      <c r="F24" s="2">
        <f t="shared" si="2"/>
        <v>-66658</v>
      </c>
      <c r="G24" s="2">
        <f t="shared" si="2"/>
        <v>-31000</v>
      </c>
      <c r="H24" s="2">
        <f t="shared" si="2"/>
        <v>-95000</v>
      </c>
      <c r="I24" s="2">
        <f t="shared" si="2"/>
        <v>-1639</v>
      </c>
      <c r="J24" s="2">
        <f t="shared" si="2"/>
        <v>-1000</v>
      </c>
      <c r="K24" s="2">
        <f t="shared" si="2"/>
        <v>-91000</v>
      </c>
      <c r="L24" s="2">
        <f t="shared" si="2"/>
        <v>-32200</v>
      </c>
      <c r="M24" s="2">
        <f t="shared" si="2"/>
        <v>0</v>
      </c>
      <c r="N24" s="2">
        <f t="shared" si="2"/>
        <v>5000</v>
      </c>
      <c r="O24" s="2">
        <f t="shared" si="2"/>
        <v>-2941</v>
      </c>
    </row>
    <row r="25" spans="1:15" hidden="1">
      <c r="A25" s="7"/>
    </row>
    <row r="26" spans="1:15" hidden="1">
      <c r="A26" s="7"/>
    </row>
    <row r="27" spans="1:15" hidden="1"/>
    <row r="28" spans="1:15" hidden="1"/>
    <row r="29" spans="1:15" hidden="1"/>
    <row r="30" spans="1:15" hidden="1">
      <c r="A30" s="8"/>
      <c r="B30" s="9" t="s">
        <v>312</v>
      </c>
      <c r="C30" s="10">
        <f>SUM(D30:O30)</f>
        <v>0</v>
      </c>
      <c r="D30" s="8"/>
      <c r="E30" s="8"/>
      <c r="F30" s="8"/>
      <c r="G30" s="8"/>
      <c r="H30" s="8"/>
      <c r="I30" s="8"/>
      <c r="J30" s="8"/>
      <c r="K30" s="8"/>
      <c r="L30" s="8"/>
      <c r="M30" s="8"/>
      <c r="N30" s="8"/>
      <c r="O30" s="8"/>
    </row>
    <row r="31" spans="1:15" hidden="1">
      <c r="A31" s="8"/>
      <c r="B31" s="9" t="s">
        <v>313</v>
      </c>
      <c r="C31" s="10">
        <f>SUM(D31:O31)</f>
        <v>2895800</v>
      </c>
      <c r="D31" s="8">
        <f>'[1]Giao DT 2015'!H10</f>
        <v>100800</v>
      </c>
      <c r="E31" s="8">
        <f>'[1]Giao DT 2015'!H11</f>
        <v>332000</v>
      </c>
      <c r="F31" s="8">
        <f>'[1]Giao DT 2015'!H12</f>
        <v>792700</v>
      </c>
      <c r="G31" s="8">
        <f>'[1]Giao DT 2015'!H14</f>
        <v>65000</v>
      </c>
      <c r="H31" s="8">
        <f>'[1]Giao DT 2015'!H15</f>
        <v>300000</v>
      </c>
      <c r="I31" s="8">
        <f>'[1]Giao DT 2015'!H16</f>
        <v>83600</v>
      </c>
      <c r="J31" s="8">
        <f>'[1]Giao DT 2015'!H17</f>
        <v>11000</v>
      </c>
      <c r="K31" s="8">
        <f>'[1]Giao DT 2015'!H19</f>
        <v>83000</v>
      </c>
      <c r="L31" s="8">
        <f>'[1]Giao DT 2015'!H18</f>
        <v>195800</v>
      </c>
      <c r="M31" s="8">
        <f>'[1]Giao DT 2015'!H20</f>
        <v>750000</v>
      </c>
      <c r="N31" s="8">
        <f>'[1]Giao DT 2015'!H21</f>
        <v>70000</v>
      </c>
      <c r="O31" s="8">
        <f>'[1]Giao DT 2015'!H22</f>
        <v>111900</v>
      </c>
    </row>
    <row r="32" spans="1:15" hidden="1">
      <c r="A32" s="8"/>
      <c r="B32" s="9" t="s">
        <v>314</v>
      </c>
      <c r="C32" s="8">
        <f t="shared" ref="C32:O32" si="3">C31-C22</f>
        <v>-252900</v>
      </c>
      <c r="D32" s="8">
        <f t="shared" si="3"/>
        <v>-110462</v>
      </c>
      <c r="E32" s="8">
        <f t="shared" si="3"/>
        <v>174000</v>
      </c>
      <c r="F32" s="8">
        <f t="shared" si="3"/>
        <v>-66658</v>
      </c>
      <c r="G32" s="8">
        <f t="shared" si="3"/>
        <v>-31000</v>
      </c>
      <c r="H32" s="8">
        <f t="shared" si="3"/>
        <v>-95000</v>
      </c>
      <c r="I32" s="8">
        <f t="shared" si="3"/>
        <v>-1639</v>
      </c>
      <c r="J32" s="8">
        <f t="shared" si="3"/>
        <v>-1000</v>
      </c>
      <c r="K32" s="8">
        <f t="shared" si="3"/>
        <v>-91000</v>
      </c>
      <c r="L32" s="8">
        <f t="shared" si="3"/>
        <v>-32200</v>
      </c>
      <c r="M32" s="8">
        <f t="shared" si="3"/>
        <v>0</v>
      </c>
      <c r="N32" s="8">
        <f t="shared" si="3"/>
        <v>5000</v>
      </c>
      <c r="O32" s="8">
        <f t="shared" si="3"/>
        <v>-2941</v>
      </c>
    </row>
    <row r="33" spans="10:15" hidden="1"/>
    <row r="34" spans="10:15" hidden="1"/>
    <row r="35" spans="10:15" hidden="1"/>
    <row r="36" spans="10:15" hidden="1"/>
    <row r="38" spans="10:15" ht="16.8">
      <c r="J38" s="324"/>
      <c r="K38" s="324"/>
      <c r="L38" s="324"/>
      <c r="M38" s="324"/>
      <c r="N38" s="324"/>
      <c r="O38" s="324"/>
    </row>
  </sheetData>
  <mergeCells count="10">
    <mergeCell ref="A1:D1"/>
    <mergeCell ref="J1:O1"/>
    <mergeCell ref="A2:D2"/>
    <mergeCell ref="J2:O2"/>
    <mergeCell ref="J38:O38"/>
    <mergeCell ref="A4:O4"/>
    <mergeCell ref="A5:O5"/>
    <mergeCell ref="M7:O7"/>
    <mergeCell ref="A22:B22"/>
    <mergeCell ref="A6:O6"/>
  </mergeCells>
  <phoneticPr fontId="3" type="noConversion"/>
  <printOptions horizontalCentered="1"/>
  <pageMargins left="0" right="0" top="0.64" bottom="0.7" header="0.5" footer="0.5"/>
  <pageSetup paperSize="9" scale="98" orientation="landscape" r:id="rId1"/>
  <headerFooter alignWithMargins="0">
    <oddFooter>&amp;C&amp;P/1 (PL 05)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zoomScaleNormal="100" workbookViewId="0">
      <selection activeCell="M7" sqref="M7"/>
    </sheetView>
  </sheetViews>
  <sheetFormatPr defaultColWidth="9" defaultRowHeight="15.6"/>
  <cols>
    <col min="1" max="1" width="4.8984375" style="11" customWidth="1"/>
    <col min="2" max="2" width="17" style="11" customWidth="1"/>
    <col min="3" max="3" width="11.59765625" style="11" customWidth="1"/>
    <col min="4" max="4" width="10.59765625" style="11" customWidth="1"/>
    <col min="5" max="6" width="10.09765625" style="12" customWidth="1"/>
    <col min="7" max="7" width="10.59765625" style="13" customWidth="1"/>
    <col min="8" max="9" width="10.09765625" style="13" customWidth="1"/>
    <col min="10" max="10" width="10.59765625" style="11" customWidth="1"/>
    <col min="11" max="12" width="10.09765625" style="11" customWidth="1"/>
    <col min="13" max="16384" width="9" style="11"/>
  </cols>
  <sheetData>
    <row r="1" spans="1:12" ht="17.399999999999999">
      <c r="A1" s="312" t="s">
        <v>993</v>
      </c>
      <c r="B1" s="312"/>
      <c r="C1" s="312"/>
      <c r="D1" s="312"/>
      <c r="G1" s="312" t="s">
        <v>994</v>
      </c>
      <c r="H1" s="312"/>
      <c r="I1" s="312"/>
      <c r="J1" s="312"/>
      <c r="K1" s="312"/>
      <c r="L1" s="312"/>
    </row>
    <row r="2" spans="1:12" ht="17.399999999999999">
      <c r="A2" s="312" t="s">
        <v>999</v>
      </c>
      <c r="B2" s="312"/>
      <c r="C2" s="312"/>
      <c r="D2" s="312"/>
      <c r="G2" s="312" t="s">
        <v>998</v>
      </c>
      <c r="H2" s="312"/>
      <c r="I2" s="312"/>
      <c r="J2" s="312"/>
      <c r="K2" s="312"/>
      <c r="L2" s="312"/>
    </row>
    <row r="3" spans="1:12" s="1" customFormat="1" ht="19.5" customHeight="1">
      <c r="A3" s="331" t="s">
        <v>315</v>
      </c>
      <c r="B3" s="331"/>
      <c r="C3" s="331"/>
      <c r="D3" s="331"/>
      <c r="E3" s="331"/>
      <c r="F3" s="331"/>
      <c r="G3" s="331"/>
      <c r="H3" s="331"/>
      <c r="I3" s="331"/>
      <c r="J3" s="331"/>
      <c r="K3" s="331"/>
      <c r="L3" s="331"/>
    </row>
    <row r="4" spans="1:12" s="1" customFormat="1" ht="18" customHeight="1">
      <c r="A4" s="326" t="s">
        <v>650</v>
      </c>
      <c r="B4" s="326"/>
      <c r="C4" s="326"/>
      <c r="D4" s="326"/>
      <c r="E4" s="326"/>
      <c r="F4" s="326"/>
      <c r="G4" s="326"/>
      <c r="H4" s="326"/>
      <c r="I4" s="326"/>
      <c r="J4" s="326"/>
      <c r="K4" s="326"/>
      <c r="L4" s="326"/>
    </row>
    <row r="5" spans="1:12" s="1" customFormat="1" ht="20.25" customHeight="1">
      <c r="A5" s="332" t="s">
        <v>995</v>
      </c>
      <c r="B5" s="332"/>
      <c r="C5" s="332"/>
      <c r="D5" s="332"/>
      <c r="E5" s="332"/>
      <c r="F5" s="332"/>
      <c r="G5" s="332"/>
      <c r="H5" s="332"/>
      <c r="I5" s="332"/>
      <c r="J5" s="332"/>
      <c r="K5" s="332"/>
      <c r="L5" s="332"/>
    </row>
    <row r="6" spans="1:12" s="34" customFormat="1" ht="17.25" customHeight="1">
      <c r="E6" s="35"/>
      <c r="F6" s="35"/>
      <c r="G6" s="36"/>
      <c r="H6" s="36"/>
      <c r="I6" s="36"/>
      <c r="J6" s="333" t="s">
        <v>0</v>
      </c>
      <c r="K6" s="333"/>
      <c r="L6" s="333"/>
    </row>
    <row r="7" spans="1:12" s="44" customFormat="1" ht="33" customHeight="1">
      <c r="A7" s="335" t="s">
        <v>28</v>
      </c>
      <c r="B7" s="335" t="s">
        <v>286</v>
      </c>
      <c r="C7" s="335" t="s">
        <v>316</v>
      </c>
      <c r="D7" s="335" t="s">
        <v>317</v>
      </c>
      <c r="E7" s="335"/>
      <c r="F7" s="335"/>
      <c r="G7" s="334" t="s">
        <v>318</v>
      </c>
      <c r="H7" s="334"/>
      <c r="I7" s="334"/>
      <c r="J7" s="335" t="s">
        <v>319</v>
      </c>
      <c r="K7" s="335"/>
      <c r="L7" s="335"/>
    </row>
    <row r="8" spans="1:12" s="14" customFormat="1" ht="36" customHeight="1">
      <c r="A8" s="335"/>
      <c r="B8" s="335"/>
      <c r="C8" s="335"/>
      <c r="D8" s="52" t="s">
        <v>320</v>
      </c>
      <c r="E8" s="45" t="s">
        <v>321</v>
      </c>
      <c r="F8" s="45" t="s">
        <v>322</v>
      </c>
      <c r="G8" s="51" t="s">
        <v>320</v>
      </c>
      <c r="H8" s="51" t="s">
        <v>321</v>
      </c>
      <c r="I8" s="51" t="s">
        <v>322</v>
      </c>
      <c r="J8" s="52" t="s">
        <v>320</v>
      </c>
      <c r="K8" s="52" t="s">
        <v>321</v>
      </c>
      <c r="L8" s="52" t="s">
        <v>322</v>
      </c>
    </row>
    <row r="9" spans="1:12" s="34" customFormat="1" ht="23.1" customHeight="1">
      <c r="A9" s="40">
        <v>1</v>
      </c>
      <c r="B9" s="41" t="s">
        <v>300</v>
      </c>
      <c r="C9" s="42">
        <v>135600</v>
      </c>
      <c r="D9" s="42">
        <f>SUM(E9:F9)</f>
        <v>85072</v>
      </c>
      <c r="E9" s="42">
        <v>51171</v>
      </c>
      <c r="F9" s="42">
        <v>33901</v>
      </c>
      <c r="G9" s="43">
        <f t="shared" ref="G9:G21" si="0">SUM(H9:I9)</f>
        <v>366983</v>
      </c>
      <c r="H9" s="43">
        <v>269279</v>
      </c>
      <c r="I9" s="43">
        <v>97704</v>
      </c>
      <c r="J9" s="42">
        <f t="shared" ref="J9:J21" si="1">SUM(K9:L9)</f>
        <v>452055</v>
      </c>
      <c r="K9" s="42">
        <f>E9+H9</f>
        <v>320450</v>
      </c>
      <c r="L9" s="42">
        <f>F9+I9</f>
        <v>131605</v>
      </c>
    </row>
    <row r="10" spans="1:12" s="34" customFormat="1" ht="23.1" customHeight="1">
      <c r="A10" s="40">
        <v>2</v>
      </c>
      <c r="B10" s="49" t="s">
        <v>649</v>
      </c>
      <c r="C10" s="42">
        <v>720000</v>
      </c>
      <c r="D10" s="42">
        <f t="shared" ref="D10:D21" si="2">SUM(E10:F10)</f>
        <v>170511</v>
      </c>
      <c r="E10" s="42">
        <v>138469</v>
      </c>
      <c r="F10" s="42">
        <v>32042</v>
      </c>
      <c r="G10" s="43">
        <f t="shared" si="0"/>
        <v>216487</v>
      </c>
      <c r="H10" s="43">
        <v>136243</v>
      </c>
      <c r="I10" s="43">
        <v>80244</v>
      </c>
      <c r="J10" s="42">
        <f t="shared" si="1"/>
        <v>386998</v>
      </c>
      <c r="K10" s="42">
        <f t="shared" ref="K10:K21" si="3">E10+H10</f>
        <v>274712</v>
      </c>
      <c r="L10" s="42">
        <f t="shared" ref="L10:L21" si="4">F10+I10</f>
        <v>112286</v>
      </c>
    </row>
    <row r="11" spans="1:12" s="34" customFormat="1" ht="23.1" customHeight="1">
      <c r="A11" s="40">
        <v>3</v>
      </c>
      <c r="B11" s="41" t="s">
        <v>301</v>
      </c>
      <c r="C11" s="42">
        <v>190000</v>
      </c>
      <c r="D11" s="42">
        <f t="shared" si="2"/>
        <v>116478</v>
      </c>
      <c r="E11" s="42">
        <v>78018</v>
      </c>
      <c r="F11" s="42">
        <v>38460</v>
      </c>
      <c r="G11" s="43">
        <f t="shared" si="0"/>
        <v>436287</v>
      </c>
      <c r="H11" s="43">
        <v>312967</v>
      </c>
      <c r="I11" s="43">
        <v>123320</v>
      </c>
      <c r="J11" s="42">
        <f t="shared" si="1"/>
        <v>552765</v>
      </c>
      <c r="K11" s="42">
        <f t="shared" si="3"/>
        <v>390985</v>
      </c>
      <c r="L11" s="42">
        <f t="shared" si="4"/>
        <v>161780</v>
      </c>
    </row>
    <row r="12" spans="1:12" s="34" customFormat="1" ht="23.1" customHeight="1">
      <c r="A12" s="40">
        <v>4</v>
      </c>
      <c r="B12" s="41" t="s">
        <v>302</v>
      </c>
      <c r="C12" s="42">
        <v>870000</v>
      </c>
      <c r="D12" s="42">
        <f t="shared" si="2"/>
        <v>367256</v>
      </c>
      <c r="E12" s="42">
        <v>301226</v>
      </c>
      <c r="F12" s="42">
        <v>66030</v>
      </c>
      <c r="G12" s="43">
        <f t="shared" si="0"/>
        <v>150421</v>
      </c>
      <c r="H12" s="43">
        <v>108781</v>
      </c>
      <c r="I12" s="43">
        <v>41640</v>
      </c>
      <c r="J12" s="42">
        <f t="shared" si="1"/>
        <v>517677</v>
      </c>
      <c r="K12" s="42">
        <f t="shared" si="3"/>
        <v>410007</v>
      </c>
      <c r="L12" s="42">
        <f t="shared" si="4"/>
        <v>107670</v>
      </c>
    </row>
    <row r="13" spans="1:12" s="34" customFormat="1" ht="23.1" customHeight="1">
      <c r="A13" s="40">
        <v>5</v>
      </c>
      <c r="B13" s="41" t="s">
        <v>303</v>
      </c>
      <c r="C13" s="42">
        <v>274700</v>
      </c>
      <c r="D13" s="42">
        <f t="shared" si="2"/>
        <v>107983</v>
      </c>
      <c r="E13" s="42">
        <v>58627</v>
      </c>
      <c r="F13" s="42">
        <v>49356</v>
      </c>
      <c r="G13" s="43">
        <f t="shared" si="0"/>
        <v>415774</v>
      </c>
      <c r="H13" s="43">
        <v>293786</v>
      </c>
      <c r="I13" s="43">
        <v>121988</v>
      </c>
      <c r="J13" s="42">
        <f t="shared" si="1"/>
        <v>523757</v>
      </c>
      <c r="K13" s="42">
        <f t="shared" si="3"/>
        <v>352413</v>
      </c>
      <c r="L13" s="42">
        <f t="shared" si="4"/>
        <v>171344</v>
      </c>
    </row>
    <row r="14" spans="1:12" s="34" customFormat="1" ht="23.1" customHeight="1">
      <c r="A14" s="40">
        <v>6</v>
      </c>
      <c r="B14" s="41" t="s">
        <v>304</v>
      </c>
      <c r="C14" s="42">
        <v>152000</v>
      </c>
      <c r="D14" s="42">
        <f t="shared" si="2"/>
        <v>97976</v>
      </c>
      <c r="E14" s="42">
        <v>67202</v>
      </c>
      <c r="F14" s="42">
        <v>30774</v>
      </c>
      <c r="G14" s="43">
        <f t="shared" si="0"/>
        <v>377633</v>
      </c>
      <c r="H14" s="43">
        <v>279712</v>
      </c>
      <c r="I14" s="43">
        <v>97921</v>
      </c>
      <c r="J14" s="42">
        <f t="shared" si="1"/>
        <v>475609</v>
      </c>
      <c r="K14" s="42">
        <f t="shared" si="3"/>
        <v>346914</v>
      </c>
      <c r="L14" s="42">
        <f t="shared" si="4"/>
        <v>128695</v>
      </c>
    </row>
    <row r="15" spans="1:12" s="34" customFormat="1" ht="23.1" customHeight="1">
      <c r="A15" s="40">
        <v>7</v>
      </c>
      <c r="B15" s="41" t="s">
        <v>305</v>
      </c>
      <c r="C15" s="42">
        <v>152300</v>
      </c>
      <c r="D15" s="42">
        <f t="shared" si="2"/>
        <v>103893</v>
      </c>
      <c r="E15" s="42">
        <v>51377</v>
      </c>
      <c r="F15" s="42">
        <v>52516</v>
      </c>
      <c r="G15" s="43">
        <f t="shared" si="0"/>
        <v>323451</v>
      </c>
      <c r="H15" s="43">
        <f>217366+2000+500</f>
        <v>219866</v>
      </c>
      <c r="I15" s="43">
        <v>103585</v>
      </c>
      <c r="J15" s="42">
        <f t="shared" si="1"/>
        <v>427344</v>
      </c>
      <c r="K15" s="42">
        <f t="shared" si="3"/>
        <v>271243</v>
      </c>
      <c r="L15" s="42">
        <f t="shared" si="4"/>
        <v>156101</v>
      </c>
    </row>
    <row r="16" spans="1:12" s="34" customFormat="1" ht="23.1" customHeight="1">
      <c r="A16" s="40">
        <v>8</v>
      </c>
      <c r="B16" s="41" t="s">
        <v>306</v>
      </c>
      <c r="C16" s="42">
        <v>146900</v>
      </c>
      <c r="D16" s="42">
        <f t="shared" si="2"/>
        <v>76827</v>
      </c>
      <c r="E16" s="42">
        <v>41824</v>
      </c>
      <c r="F16" s="42">
        <v>35003</v>
      </c>
      <c r="G16" s="43">
        <f t="shared" si="0"/>
        <v>284237</v>
      </c>
      <c r="H16" s="43">
        <v>217818</v>
      </c>
      <c r="I16" s="43">
        <v>66419</v>
      </c>
      <c r="J16" s="42">
        <f t="shared" si="1"/>
        <v>361064</v>
      </c>
      <c r="K16" s="42">
        <f t="shared" si="3"/>
        <v>259642</v>
      </c>
      <c r="L16" s="42">
        <f t="shared" si="4"/>
        <v>101422</v>
      </c>
    </row>
    <row r="17" spans="1:12" s="34" customFormat="1" ht="23.1" customHeight="1">
      <c r="A17" s="40">
        <v>9</v>
      </c>
      <c r="B17" s="41" t="s">
        <v>307</v>
      </c>
      <c r="C17" s="42">
        <v>92900</v>
      </c>
      <c r="D17" s="42">
        <f t="shared" si="2"/>
        <v>63345</v>
      </c>
      <c r="E17" s="42">
        <v>33072</v>
      </c>
      <c r="F17" s="42">
        <v>30273</v>
      </c>
      <c r="G17" s="43">
        <f t="shared" si="0"/>
        <v>462415</v>
      </c>
      <c r="H17" s="43">
        <f>311711+2000</f>
        <v>313711</v>
      </c>
      <c r="I17" s="43">
        <v>148704</v>
      </c>
      <c r="J17" s="42">
        <f t="shared" si="1"/>
        <v>525760</v>
      </c>
      <c r="K17" s="42">
        <f t="shared" si="3"/>
        <v>346783</v>
      </c>
      <c r="L17" s="42">
        <f t="shared" si="4"/>
        <v>178977</v>
      </c>
    </row>
    <row r="18" spans="1:12" s="34" customFormat="1" ht="23.1" customHeight="1">
      <c r="A18" s="40">
        <v>10</v>
      </c>
      <c r="B18" s="41" t="s">
        <v>308</v>
      </c>
      <c r="C18" s="42">
        <v>89000</v>
      </c>
      <c r="D18" s="42">
        <f t="shared" si="2"/>
        <v>55829</v>
      </c>
      <c r="E18" s="42">
        <v>28246</v>
      </c>
      <c r="F18" s="42">
        <v>27583</v>
      </c>
      <c r="G18" s="43">
        <f t="shared" si="0"/>
        <v>429071</v>
      </c>
      <c r="H18" s="43">
        <f>306771+5000+2000</f>
        <v>313771</v>
      </c>
      <c r="I18" s="43">
        <v>115300</v>
      </c>
      <c r="J18" s="42">
        <f t="shared" si="1"/>
        <v>484900</v>
      </c>
      <c r="K18" s="42">
        <f t="shared" si="3"/>
        <v>342017</v>
      </c>
      <c r="L18" s="42">
        <f t="shared" si="4"/>
        <v>142883</v>
      </c>
    </row>
    <row r="19" spans="1:12" s="34" customFormat="1" ht="23.1" customHeight="1">
      <c r="A19" s="40">
        <v>11</v>
      </c>
      <c r="B19" s="41" t="s">
        <v>309</v>
      </c>
      <c r="C19" s="42">
        <v>165000</v>
      </c>
      <c r="D19" s="42">
        <f t="shared" si="2"/>
        <v>95851</v>
      </c>
      <c r="E19" s="42">
        <v>86870</v>
      </c>
      <c r="F19" s="42">
        <v>8981</v>
      </c>
      <c r="G19" s="43">
        <f t="shared" si="0"/>
        <v>159438</v>
      </c>
      <c r="H19" s="43">
        <v>136619</v>
      </c>
      <c r="I19" s="43">
        <v>22819</v>
      </c>
      <c r="J19" s="42">
        <f t="shared" si="1"/>
        <v>255289</v>
      </c>
      <c r="K19" s="42">
        <f t="shared" si="3"/>
        <v>223489</v>
      </c>
      <c r="L19" s="42">
        <f t="shared" si="4"/>
        <v>31800</v>
      </c>
    </row>
    <row r="20" spans="1:12" s="34" customFormat="1" ht="23.1" customHeight="1">
      <c r="A20" s="40">
        <v>12</v>
      </c>
      <c r="B20" s="41" t="s">
        <v>310</v>
      </c>
      <c r="C20" s="42">
        <v>60400</v>
      </c>
      <c r="D20" s="42">
        <f t="shared" si="2"/>
        <v>38872</v>
      </c>
      <c r="E20" s="42">
        <v>22608</v>
      </c>
      <c r="F20" s="42">
        <v>16264</v>
      </c>
      <c r="G20" s="43">
        <f t="shared" si="0"/>
        <v>232612</v>
      </c>
      <c r="H20" s="43">
        <f>169737+3000</f>
        <v>172737</v>
      </c>
      <c r="I20" s="43">
        <v>59875</v>
      </c>
      <c r="J20" s="42">
        <f t="shared" si="1"/>
        <v>271484</v>
      </c>
      <c r="K20" s="42">
        <f t="shared" si="3"/>
        <v>195345</v>
      </c>
      <c r="L20" s="42">
        <f t="shared" si="4"/>
        <v>76139</v>
      </c>
    </row>
    <row r="21" spans="1:12" s="34" customFormat="1" ht="23.1" customHeight="1">
      <c r="A21" s="40">
        <v>13</v>
      </c>
      <c r="B21" s="41" t="s">
        <v>311</v>
      </c>
      <c r="C21" s="42">
        <v>99900</v>
      </c>
      <c r="D21" s="42">
        <f t="shared" si="2"/>
        <v>68765</v>
      </c>
      <c r="E21" s="42">
        <v>33442</v>
      </c>
      <c r="F21" s="42">
        <v>35323</v>
      </c>
      <c r="G21" s="43">
        <f t="shared" si="0"/>
        <v>253823</v>
      </c>
      <c r="H21" s="43">
        <v>186102</v>
      </c>
      <c r="I21" s="43">
        <v>67721</v>
      </c>
      <c r="J21" s="42">
        <f t="shared" si="1"/>
        <v>322588</v>
      </c>
      <c r="K21" s="42">
        <f t="shared" si="3"/>
        <v>219544</v>
      </c>
      <c r="L21" s="42">
        <f t="shared" si="4"/>
        <v>103044</v>
      </c>
    </row>
    <row r="22" spans="1:12" s="39" customFormat="1" ht="23.1" customHeight="1">
      <c r="A22" s="336" t="s">
        <v>287</v>
      </c>
      <c r="B22" s="336"/>
      <c r="C22" s="37">
        <f t="shared" ref="C22:L22" si="5">SUM(C9:C21)</f>
        <v>3148700</v>
      </c>
      <c r="D22" s="37">
        <f t="shared" si="5"/>
        <v>1448658</v>
      </c>
      <c r="E22" s="37">
        <f t="shared" si="5"/>
        <v>992152</v>
      </c>
      <c r="F22" s="37">
        <f t="shared" si="5"/>
        <v>456506</v>
      </c>
      <c r="G22" s="37">
        <f t="shared" si="5"/>
        <v>4108632</v>
      </c>
      <c r="H22" s="37">
        <f t="shared" si="5"/>
        <v>2961392</v>
      </c>
      <c r="I22" s="37">
        <f t="shared" si="5"/>
        <v>1147240</v>
      </c>
      <c r="J22" s="37">
        <f t="shared" si="5"/>
        <v>5557290</v>
      </c>
      <c r="K22" s="37">
        <f t="shared" si="5"/>
        <v>3953544</v>
      </c>
      <c r="L22" s="37">
        <f t="shared" si="5"/>
        <v>1603746</v>
      </c>
    </row>
    <row r="23" spans="1:12" hidden="1">
      <c r="A23" s="15"/>
      <c r="E23" s="13" t="str">
        <f>+'[2]Giao DT 2014 (Lam tron)'!B11</f>
        <v>Toàn tỉnh</v>
      </c>
      <c r="F23" s="13" t="e">
        <f>+'[2]Giao DT 2014 (Lam tron)'!C11</f>
        <v>#REF!</v>
      </c>
      <c r="G23" s="13" t="e">
        <f>+'[2]Tong thu 2014 (lam tron)'!#REF!</f>
        <v>#REF!</v>
      </c>
      <c r="H23" s="13" t="e">
        <f>+'[2]Tong thu 2014 (lam tron)'!A23</f>
        <v>#REF!</v>
      </c>
      <c r="I23" s="13" t="str">
        <f>+'[2]Tong thu 2014 (lam tron)'!B23</f>
        <v>Tổng cộng</v>
      </c>
    </row>
    <row r="24" spans="1:12" hidden="1">
      <c r="A24" s="15"/>
      <c r="C24" s="16">
        <f>'[3]PL 01 Thu NSNN'!C17</f>
        <v>2895800</v>
      </c>
      <c r="G24" s="17"/>
    </row>
    <row r="25" spans="1:12" hidden="1">
      <c r="A25" s="15"/>
      <c r="E25" s="12">
        <f>'[1]Tang thu'!Z21</f>
        <v>866443</v>
      </c>
      <c r="F25" s="12">
        <f>'[1]Tang thu'!AG21</f>
        <v>532085</v>
      </c>
      <c r="G25" s="13">
        <f>'[1]Tong thu 2015 (CT)'!K23</f>
        <v>3673543.1066902145</v>
      </c>
      <c r="H25" s="13">
        <f>'[1]Tong thu 2015 (CT)'!L23</f>
        <v>2660458.0740452935</v>
      </c>
      <c r="I25" s="13">
        <f>'[1]Tong thu 2015 (CT)'!M23</f>
        <v>1013085.0326449199</v>
      </c>
    </row>
    <row r="26" spans="1:12" hidden="1">
      <c r="A26" s="15"/>
      <c r="E26" s="12">
        <f>E22-E25</f>
        <v>125709</v>
      </c>
      <c r="F26" s="12">
        <f>F22-F25</f>
        <v>-75579</v>
      </c>
      <c r="G26" s="13">
        <f>ROUND('[1]Tong thu 2015 (CT)'!K23,0)</f>
        <v>3673543</v>
      </c>
      <c r="H26" s="13">
        <f>ROUND('[1]Tong thu 2015 (CT)'!L23,0)</f>
        <v>2660458</v>
      </c>
      <c r="I26" s="13">
        <f>ROUND('[1]Tong thu 2015 (CT)'!M23,0)</f>
        <v>1013085</v>
      </c>
    </row>
    <row r="27" spans="1:12" hidden="1"/>
    <row r="28" spans="1:12" hidden="1"/>
    <row r="29" spans="1:12">
      <c r="E29" s="50"/>
    </row>
    <row r="30" spans="1:12" ht="16.8">
      <c r="H30" s="330"/>
      <c r="I30" s="330"/>
      <c r="J30" s="330"/>
      <c r="K30" s="330"/>
      <c r="L30" s="330"/>
    </row>
    <row r="31" spans="1:12" hidden="1">
      <c r="A31" s="18"/>
      <c r="B31" s="18" t="s">
        <v>312</v>
      </c>
      <c r="C31" s="18"/>
      <c r="D31" s="18"/>
      <c r="E31" s="19"/>
      <c r="F31" s="19"/>
      <c r="G31" s="20"/>
      <c r="H31" s="20"/>
      <c r="I31" s="20"/>
      <c r="J31" s="18"/>
      <c r="K31" s="18"/>
      <c r="L31" s="18"/>
    </row>
    <row r="32" spans="1:12" hidden="1">
      <c r="A32" s="18"/>
      <c r="B32" s="18" t="s">
        <v>323</v>
      </c>
      <c r="C32" s="18"/>
      <c r="D32" s="18"/>
      <c r="E32" s="19">
        <f>'[1]Giao DT 2015'!L9</f>
        <v>866443</v>
      </c>
      <c r="F32" s="19">
        <f>'[1]Giao DT 2015'!M9</f>
        <v>532085</v>
      </c>
      <c r="G32" s="20"/>
      <c r="H32" s="20">
        <f>'[1]Tong thu 2015 (CT)'!L23</f>
        <v>2660458.0740452935</v>
      </c>
      <c r="I32" s="20">
        <f>'[1]Tong thu 2015 (CT)'!M23</f>
        <v>1013085.0326449199</v>
      </c>
      <c r="J32" s="18"/>
      <c r="K32" s="18"/>
      <c r="L32" s="18"/>
    </row>
    <row r="33" spans="1:12" hidden="1">
      <c r="A33" s="18"/>
      <c r="B33" s="18" t="s">
        <v>314</v>
      </c>
      <c r="C33" s="18"/>
      <c r="D33" s="18"/>
      <c r="E33" s="19">
        <f>E32-E22</f>
        <v>-125709</v>
      </c>
      <c r="F33" s="19">
        <f>F32-F22</f>
        <v>75579</v>
      </c>
      <c r="G33" s="20"/>
      <c r="H33" s="19">
        <f>H32-H22</f>
        <v>-300933.9259547065</v>
      </c>
      <c r="I33" s="19">
        <f>I32-I22</f>
        <v>-134154.96735508007</v>
      </c>
      <c r="J33" s="18"/>
      <c r="K33" s="18"/>
      <c r="L33" s="18"/>
    </row>
    <row r="34" spans="1:12" hidden="1">
      <c r="A34" s="18"/>
      <c r="B34" s="18"/>
      <c r="C34" s="18"/>
      <c r="D34" s="18"/>
      <c r="E34" s="19"/>
      <c r="F34" s="19"/>
      <c r="G34" s="20"/>
      <c r="H34" s="20"/>
      <c r="I34" s="20"/>
      <c r="J34" s="18"/>
      <c r="K34" s="18"/>
      <c r="L34" s="18"/>
    </row>
    <row r="35" spans="1:12" hidden="1"/>
  </sheetData>
  <mergeCells count="16">
    <mergeCell ref="A1:D1"/>
    <mergeCell ref="G1:L1"/>
    <mergeCell ref="A2:D2"/>
    <mergeCell ref="G2:L2"/>
    <mergeCell ref="H30:L30"/>
    <mergeCell ref="A3:L3"/>
    <mergeCell ref="A4:L4"/>
    <mergeCell ref="A5:L5"/>
    <mergeCell ref="J6:L6"/>
    <mergeCell ref="G7:I7"/>
    <mergeCell ref="J7:L7"/>
    <mergeCell ref="A22:B22"/>
    <mergeCell ref="A7:A8"/>
    <mergeCell ref="B7:B8"/>
    <mergeCell ref="C7:C8"/>
    <mergeCell ref="D7:F7"/>
  </mergeCells>
  <phoneticPr fontId="3" type="noConversion"/>
  <printOptions horizontalCentered="1"/>
  <pageMargins left="0" right="0" top="0.61" bottom="0.5" header="0.5" footer="0.2"/>
  <pageSetup paperSize="9" orientation="landscape" r:id="rId1"/>
  <headerFooter alignWithMargins="0">
    <oddFooter>&amp;C&amp;P/1 (PL 06)</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
  <sheetViews>
    <sheetView topLeftCell="A7" workbookViewId="0">
      <selection activeCell="C21" sqref="C21"/>
    </sheetView>
  </sheetViews>
  <sheetFormatPr defaultColWidth="9" defaultRowHeight="15.6"/>
  <cols>
    <col min="1" max="1" width="5" style="11" customWidth="1"/>
    <col min="2" max="2" width="17.8984375" style="11" customWidth="1"/>
    <col min="3" max="4" width="11.59765625" style="13" customWidth="1"/>
    <col min="5" max="7" width="11.3984375" style="13" customWidth="1"/>
    <col min="8" max="8" width="11.59765625" style="13" customWidth="1"/>
    <col min="9" max="11" width="11.3984375" style="13" customWidth="1"/>
    <col min="12" max="16" width="9" style="11" customWidth="1"/>
    <col min="17" max="16384" width="9" style="11"/>
  </cols>
  <sheetData>
    <row r="1" spans="1:12" ht="17.399999999999999">
      <c r="A1" s="312" t="s">
        <v>993</v>
      </c>
      <c r="B1" s="312"/>
      <c r="C1" s="312"/>
      <c r="D1" s="312"/>
      <c r="G1" s="312" t="s">
        <v>994</v>
      </c>
      <c r="H1" s="312"/>
      <c r="I1" s="312"/>
      <c r="J1" s="312"/>
      <c r="K1" s="312"/>
      <c r="L1" s="312"/>
    </row>
    <row r="2" spans="1:12" ht="17.399999999999999">
      <c r="A2" s="312" t="s">
        <v>999</v>
      </c>
      <c r="B2" s="312"/>
      <c r="C2" s="312"/>
      <c r="D2" s="312"/>
      <c r="G2" s="312" t="s">
        <v>998</v>
      </c>
      <c r="H2" s="312"/>
      <c r="I2" s="312"/>
      <c r="J2" s="312"/>
      <c r="K2" s="312"/>
      <c r="L2" s="312"/>
    </row>
    <row r="4" spans="1:12" ht="19.2" customHeight="1">
      <c r="A4" s="338" t="s">
        <v>577</v>
      </c>
      <c r="B4" s="338"/>
      <c r="C4" s="338"/>
      <c r="D4" s="338"/>
      <c r="E4" s="338"/>
      <c r="F4" s="338"/>
      <c r="G4" s="338"/>
      <c r="H4" s="338"/>
      <c r="I4" s="338"/>
      <c r="J4" s="338"/>
      <c r="K4" s="338"/>
    </row>
    <row r="5" spans="1:12" ht="21.75" customHeight="1">
      <c r="A5" s="339" t="s">
        <v>651</v>
      </c>
      <c r="B5" s="339"/>
      <c r="C5" s="339"/>
      <c r="D5" s="339"/>
      <c r="E5" s="339"/>
      <c r="F5" s="339"/>
      <c r="G5" s="339"/>
      <c r="H5" s="339"/>
      <c r="I5" s="339"/>
      <c r="J5" s="339"/>
      <c r="K5" s="339"/>
    </row>
    <row r="6" spans="1:12" ht="18" customHeight="1">
      <c r="A6" s="340" t="s">
        <v>995</v>
      </c>
      <c r="B6" s="340"/>
      <c r="C6" s="340"/>
      <c r="D6" s="340"/>
      <c r="E6" s="340"/>
      <c r="F6" s="340"/>
      <c r="G6" s="340"/>
      <c r="H6" s="340"/>
      <c r="I6" s="340"/>
      <c r="J6" s="340"/>
      <c r="K6" s="340"/>
    </row>
    <row r="7" spans="1:12" s="34" customFormat="1" ht="16.5" customHeight="1">
      <c r="C7" s="36"/>
      <c r="D7" s="36"/>
      <c r="E7" s="36"/>
      <c r="F7" s="36"/>
      <c r="G7" s="36"/>
      <c r="H7" s="36"/>
      <c r="I7" s="341" t="s">
        <v>0</v>
      </c>
      <c r="J7" s="341"/>
      <c r="K7" s="341"/>
    </row>
    <row r="8" spans="1:12" s="44" customFormat="1" ht="21.9" customHeight="1">
      <c r="A8" s="335" t="s">
        <v>28</v>
      </c>
      <c r="B8" s="335" t="s">
        <v>286</v>
      </c>
      <c r="C8" s="334" t="s">
        <v>681</v>
      </c>
      <c r="D8" s="334"/>
      <c r="E8" s="334"/>
      <c r="F8" s="334"/>
      <c r="G8" s="334"/>
      <c r="H8" s="334"/>
      <c r="I8" s="334"/>
      <c r="J8" s="334"/>
      <c r="K8" s="334"/>
    </row>
    <row r="9" spans="1:12" s="44" customFormat="1" ht="21.9" customHeight="1">
      <c r="A9" s="335"/>
      <c r="B9" s="335"/>
      <c r="C9" s="334" t="s">
        <v>325</v>
      </c>
      <c r="D9" s="334" t="s">
        <v>326</v>
      </c>
      <c r="E9" s="334"/>
      <c r="F9" s="334"/>
      <c r="G9" s="334"/>
      <c r="H9" s="334" t="s">
        <v>327</v>
      </c>
      <c r="I9" s="334"/>
      <c r="J9" s="334"/>
      <c r="K9" s="334"/>
    </row>
    <row r="10" spans="1:12" s="44" customFormat="1" ht="21.9" customHeight="1">
      <c r="A10" s="335"/>
      <c r="B10" s="335"/>
      <c r="C10" s="334"/>
      <c r="D10" s="334" t="s">
        <v>320</v>
      </c>
      <c r="E10" s="334" t="s">
        <v>3</v>
      </c>
      <c r="F10" s="334"/>
      <c r="G10" s="334"/>
      <c r="H10" s="334" t="s">
        <v>320</v>
      </c>
      <c r="I10" s="334" t="s">
        <v>3</v>
      </c>
      <c r="J10" s="334"/>
      <c r="K10" s="334"/>
    </row>
    <row r="11" spans="1:12" s="14" customFormat="1" ht="33.75" customHeight="1">
      <c r="A11" s="335"/>
      <c r="B11" s="335"/>
      <c r="C11" s="334"/>
      <c r="D11" s="334"/>
      <c r="E11" s="51" t="s">
        <v>328</v>
      </c>
      <c r="F11" s="51" t="s">
        <v>329</v>
      </c>
      <c r="G11" s="51" t="s">
        <v>330</v>
      </c>
      <c r="H11" s="334"/>
      <c r="I11" s="51" t="s">
        <v>328</v>
      </c>
      <c r="J11" s="51" t="s">
        <v>329</v>
      </c>
      <c r="K11" s="51" t="s">
        <v>330</v>
      </c>
    </row>
    <row r="12" spans="1:12" s="34" customFormat="1" ht="23.1" customHeight="1">
      <c r="A12" s="40">
        <v>1</v>
      </c>
      <c r="B12" s="41" t="s">
        <v>300</v>
      </c>
      <c r="C12" s="43">
        <f>+D12+H12</f>
        <v>452055</v>
      </c>
      <c r="D12" s="43">
        <f t="shared" ref="D12:D24" si="0">+E12+F12+G12</f>
        <v>320450</v>
      </c>
      <c r="E12" s="43">
        <v>12320</v>
      </c>
      <c r="F12" s="43">
        <v>303130</v>
      </c>
      <c r="G12" s="43">
        <v>5000</v>
      </c>
      <c r="H12" s="43">
        <f t="shared" ref="H12:H24" si="1">+I12+J12+K12</f>
        <v>131605</v>
      </c>
      <c r="I12" s="43">
        <v>9000</v>
      </c>
      <c r="J12" s="43">
        <v>119505</v>
      </c>
      <c r="K12" s="43">
        <v>3100</v>
      </c>
    </row>
    <row r="13" spans="1:12" s="34" customFormat="1" ht="23.1" customHeight="1">
      <c r="A13" s="40">
        <v>2</v>
      </c>
      <c r="B13" s="49" t="s">
        <v>649</v>
      </c>
      <c r="C13" s="43">
        <f t="shared" ref="C13:C24" si="2">+D13+H13</f>
        <v>386998</v>
      </c>
      <c r="D13" s="43">
        <f t="shared" si="0"/>
        <v>274712</v>
      </c>
      <c r="E13" s="43">
        <v>18000</v>
      </c>
      <c r="F13" s="43">
        <v>252212</v>
      </c>
      <c r="G13" s="43">
        <v>4500</v>
      </c>
      <c r="H13" s="43">
        <f t="shared" si="1"/>
        <v>112286</v>
      </c>
      <c r="I13" s="43">
        <v>5000</v>
      </c>
      <c r="J13" s="43">
        <v>104786</v>
      </c>
      <c r="K13" s="43">
        <v>2500</v>
      </c>
    </row>
    <row r="14" spans="1:12" s="34" customFormat="1" ht="23.1" customHeight="1">
      <c r="A14" s="40">
        <v>3</v>
      </c>
      <c r="B14" s="41" t="s">
        <v>301</v>
      </c>
      <c r="C14" s="43">
        <f t="shared" si="2"/>
        <v>552765</v>
      </c>
      <c r="D14" s="43">
        <f t="shared" si="0"/>
        <v>390985</v>
      </c>
      <c r="E14" s="43">
        <v>38220</v>
      </c>
      <c r="F14" s="43">
        <v>346765</v>
      </c>
      <c r="G14" s="43">
        <v>6000</v>
      </c>
      <c r="H14" s="43">
        <f t="shared" si="1"/>
        <v>161780</v>
      </c>
      <c r="I14" s="43">
        <v>4000</v>
      </c>
      <c r="J14" s="43">
        <v>154780</v>
      </c>
      <c r="K14" s="43">
        <v>3000</v>
      </c>
    </row>
    <row r="15" spans="1:12" s="34" customFormat="1" ht="23.1" customHeight="1">
      <c r="A15" s="40">
        <v>4</v>
      </c>
      <c r="B15" s="41" t="s">
        <v>302</v>
      </c>
      <c r="C15" s="43">
        <f t="shared" si="2"/>
        <v>517677</v>
      </c>
      <c r="D15" s="43">
        <f t="shared" si="0"/>
        <v>410007</v>
      </c>
      <c r="E15" s="43">
        <v>131206</v>
      </c>
      <c r="F15" s="43">
        <v>272801</v>
      </c>
      <c r="G15" s="43">
        <v>6000</v>
      </c>
      <c r="H15" s="43">
        <f t="shared" si="1"/>
        <v>107670</v>
      </c>
      <c r="I15" s="43">
        <v>28500</v>
      </c>
      <c r="J15" s="43">
        <v>76770</v>
      </c>
      <c r="K15" s="43">
        <v>2400</v>
      </c>
    </row>
    <row r="16" spans="1:12" s="34" customFormat="1" ht="23.1" customHeight="1">
      <c r="A16" s="40">
        <v>5</v>
      </c>
      <c r="B16" s="41" t="s">
        <v>303</v>
      </c>
      <c r="C16" s="43">
        <f t="shared" si="2"/>
        <v>523757</v>
      </c>
      <c r="D16" s="43">
        <f t="shared" si="0"/>
        <v>352413</v>
      </c>
      <c r="E16" s="43">
        <v>20913</v>
      </c>
      <c r="F16" s="43">
        <v>326000</v>
      </c>
      <c r="G16" s="43">
        <v>5500</v>
      </c>
      <c r="H16" s="43">
        <f t="shared" si="1"/>
        <v>171344</v>
      </c>
      <c r="I16" s="43">
        <v>15500</v>
      </c>
      <c r="J16" s="43">
        <v>152244</v>
      </c>
      <c r="K16" s="43">
        <v>3600</v>
      </c>
    </row>
    <row r="17" spans="1:11" s="34" customFormat="1" ht="23.1" customHeight="1">
      <c r="A17" s="40">
        <v>6</v>
      </c>
      <c r="B17" s="41" t="s">
        <v>304</v>
      </c>
      <c r="C17" s="43">
        <f t="shared" si="2"/>
        <v>475609</v>
      </c>
      <c r="D17" s="43">
        <f t="shared" si="0"/>
        <v>346914</v>
      </c>
      <c r="E17" s="43">
        <v>27675</v>
      </c>
      <c r="F17" s="43">
        <v>315439</v>
      </c>
      <c r="G17" s="43">
        <v>3800</v>
      </c>
      <c r="H17" s="43">
        <f t="shared" si="1"/>
        <v>128695</v>
      </c>
      <c r="I17" s="43">
        <v>8500</v>
      </c>
      <c r="J17" s="43">
        <v>118195</v>
      </c>
      <c r="K17" s="43">
        <v>2000</v>
      </c>
    </row>
    <row r="18" spans="1:11" s="34" customFormat="1" ht="23.1" customHeight="1">
      <c r="A18" s="40">
        <v>7</v>
      </c>
      <c r="B18" s="41" t="s">
        <v>305</v>
      </c>
      <c r="C18" s="43">
        <f t="shared" si="2"/>
        <v>427344</v>
      </c>
      <c r="D18" s="43">
        <f t="shared" si="0"/>
        <v>271243</v>
      </c>
      <c r="E18" s="43">
        <v>22050</v>
      </c>
      <c r="F18" s="43">
        <f>242193+2000+500</f>
        <v>244693</v>
      </c>
      <c r="G18" s="43">
        <v>4500</v>
      </c>
      <c r="H18" s="43">
        <f t="shared" si="1"/>
        <v>156101</v>
      </c>
      <c r="I18" s="43">
        <v>24000</v>
      </c>
      <c r="J18" s="43">
        <v>129101</v>
      </c>
      <c r="K18" s="43">
        <v>3000</v>
      </c>
    </row>
    <row r="19" spans="1:11" s="34" customFormat="1" ht="23.1" customHeight="1">
      <c r="A19" s="40">
        <v>8</v>
      </c>
      <c r="B19" s="41" t="s">
        <v>306</v>
      </c>
      <c r="C19" s="43">
        <f t="shared" si="2"/>
        <v>361064</v>
      </c>
      <c r="D19" s="43">
        <f t="shared" si="0"/>
        <v>259642</v>
      </c>
      <c r="E19" s="43">
        <v>6400</v>
      </c>
      <c r="F19" s="43">
        <v>249542</v>
      </c>
      <c r="G19" s="43">
        <v>3700</v>
      </c>
      <c r="H19" s="43">
        <f t="shared" si="1"/>
        <v>101422</v>
      </c>
      <c r="I19" s="43">
        <v>11500</v>
      </c>
      <c r="J19" s="43">
        <v>87322</v>
      </c>
      <c r="K19" s="43">
        <v>2600</v>
      </c>
    </row>
    <row r="20" spans="1:11" s="34" customFormat="1" ht="23.1" customHeight="1">
      <c r="A20" s="40">
        <v>9</v>
      </c>
      <c r="B20" s="41" t="s">
        <v>307</v>
      </c>
      <c r="C20" s="43">
        <f t="shared" si="2"/>
        <v>525760</v>
      </c>
      <c r="D20" s="43">
        <f t="shared" si="0"/>
        <v>346783</v>
      </c>
      <c r="E20" s="43">
        <v>4300</v>
      </c>
      <c r="F20" s="43">
        <f>333983+2000</f>
        <v>335983</v>
      </c>
      <c r="G20" s="43">
        <v>6500</v>
      </c>
      <c r="H20" s="43">
        <f t="shared" si="1"/>
        <v>178977</v>
      </c>
      <c r="I20" s="43">
        <v>8500</v>
      </c>
      <c r="J20" s="43">
        <v>165977</v>
      </c>
      <c r="K20" s="43">
        <v>4500</v>
      </c>
    </row>
    <row r="21" spans="1:11" s="34" customFormat="1" ht="23.1" customHeight="1">
      <c r="A21" s="40">
        <v>10</v>
      </c>
      <c r="B21" s="41" t="s">
        <v>308</v>
      </c>
      <c r="C21" s="43">
        <f t="shared" si="2"/>
        <v>484900</v>
      </c>
      <c r="D21" s="43">
        <f t="shared" si="0"/>
        <v>342017</v>
      </c>
      <c r="E21" s="43">
        <v>4480</v>
      </c>
      <c r="F21" s="43">
        <f>330037+2000</f>
        <v>332037</v>
      </c>
      <c r="G21" s="43">
        <v>5500</v>
      </c>
      <c r="H21" s="43">
        <f t="shared" si="1"/>
        <v>142883</v>
      </c>
      <c r="I21" s="43">
        <v>5000</v>
      </c>
      <c r="J21" s="43">
        <v>135383</v>
      </c>
      <c r="K21" s="43">
        <v>2500</v>
      </c>
    </row>
    <row r="22" spans="1:11" s="34" customFormat="1" ht="23.1" customHeight="1">
      <c r="A22" s="40">
        <v>11</v>
      </c>
      <c r="B22" s="41" t="s">
        <v>309</v>
      </c>
      <c r="C22" s="43">
        <f t="shared" si="2"/>
        <v>255289</v>
      </c>
      <c r="D22" s="43">
        <f t="shared" si="0"/>
        <v>223489</v>
      </c>
      <c r="E22" s="43">
        <v>44632</v>
      </c>
      <c r="F22" s="43">
        <v>175857</v>
      </c>
      <c r="G22" s="43">
        <v>3000</v>
      </c>
      <c r="H22" s="43">
        <f t="shared" si="1"/>
        <v>31800</v>
      </c>
      <c r="I22" s="43">
        <v>600</v>
      </c>
      <c r="J22" s="43">
        <v>30080</v>
      </c>
      <c r="K22" s="43">
        <v>1120</v>
      </c>
    </row>
    <row r="23" spans="1:11" s="34" customFormat="1" ht="23.1" customHeight="1">
      <c r="A23" s="40">
        <v>12</v>
      </c>
      <c r="B23" s="41" t="s">
        <v>310</v>
      </c>
      <c r="C23" s="43">
        <f t="shared" si="2"/>
        <v>271484</v>
      </c>
      <c r="D23" s="43">
        <f t="shared" si="0"/>
        <v>195345</v>
      </c>
      <c r="E23" s="43">
        <v>950</v>
      </c>
      <c r="F23" s="43">
        <v>189395</v>
      </c>
      <c r="G23" s="43">
        <v>5000</v>
      </c>
      <c r="H23" s="43">
        <f t="shared" si="1"/>
        <v>76139</v>
      </c>
      <c r="I23" s="43">
        <v>1750</v>
      </c>
      <c r="J23" s="43">
        <v>72289</v>
      </c>
      <c r="K23" s="43">
        <v>2100</v>
      </c>
    </row>
    <row r="24" spans="1:11" s="34" customFormat="1" ht="23.1" customHeight="1">
      <c r="A24" s="40">
        <v>13</v>
      </c>
      <c r="B24" s="41" t="s">
        <v>311</v>
      </c>
      <c r="C24" s="43">
        <f t="shared" si="2"/>
        <v>322588</v>
      </c>
      <c r="D24" s="43">
        <f t="shared" si="0"/>
        <v>219544</v>
      </c>
      <c r="E24" s="43">
        <v>13200</v>
      </c>
      <c r="F24" s="43">
        <v>203344</v>
      </c>
      <c r="G24" s="43">
        <v>3000</v>
      </c>
      <c r="H24" s="43">
        <f t="shared" si="1"/>
        <v>103044</v>
      </c>
      <c r="I24" s="43">
        <v>22000</v>
      </c>
      <c r="J24" s="43">
        <v>79244</v>
      </c>
      <c r="K24" s="43">
        <v>1800</v>
      </c>
    </row>
    <row r="25" spans="1:11" s="39" customFormat="1" ht="23.1" customHeight="1">
      <c r="A25" s="336" t="s">
        <v>287</v>
      </c>
      <c r="B25" s="336"/>
      <c r="C25" s="38">
        <f t="shared" ref="C25:K25" si="3">SUM(C12:C24)</f>
        <v>5557290</v>
      </c>
      <c r="D25" s="38">
        <f>SUM(D12:D24)</f>
        <v>3953544</v>
      </c>
      <c r="E25" s="38">
        <f t="shared" si="3"/>
        <v>344346</v>
      </c>
      <c r="F25" s="38">
        <f t="shared" si="3"/>
        <v>3547198</v>
      </c>
      <c r="G25" s="38">
        <f t="shared" si="3"/>
        <v>62000</v>
      </c>
      <c r="H25" s="38">
        <f t="shared" si="3"/>
        <v>1603746</v>
      </c>
      <c r="I25" s="38">
        <f t="shared" si="3"/>
        <v>143850</v>
      </c>
      <c r="J25" s="38">
        <f t="shared" si="3"/>
        <v>1425676</v>
      </c>
      <c r="K25" s="38">
        <f t="shared" si="3"/>
        <v>34220</v>
      </c>
    </row>
    <row r="26" spans="1:11" ht="32.25" customHeight="1">
      <c r="H26" s="337"/>
      <c r="I26" s="337"/>
      <c r="J26" s="337"/>
      <c r="K26" s="337"/>
    </row>
    <row r="27" spans="1:11" ht="16.8">
      <c r="H27" s="330"/>
      <c r="I27" s="330"/>
      <c r="J27" s="330"/>
      <c r="K27" s="330"/>
    </row>
    <row r="28" spans="1:11" hidden="1">
      <c r="B28" s="18" t="s">
        <v>312</v>
      </c>
    </row>
    <row r="29" spans="1:11" hidden="1">
      <c r="B29" s="18" t="s">
        <v>323</v>
      </c>
      <c r="C29" s="20"/>
      <c r="D29" s="20">
        <f>'[3]PL 02 Thu NSH'!K19</f>
        <v>3526902</v>
      </c>
      <c r="E29" s="20">
        <f>'[1]Tang thu'!AA21</f>
        <v>257441</v>
      </c>
      <c r="F29" s="20">
        <f>'[1]Tang thu'!AD21+'[1]Tong thu 2015 (CT)'!L23-G25</f>
        <v>3207460.0740452935</v>
      </c>
      <c r="G29" s="20">
        <f>G25</f>
        <v>62000</v>
      </c>
      <c r="H29" s="20">
        <f>'[3]PL 02 Thu NSH'!L19</f>
        <v>1545170</v>
      </c>
      <c r="I29" s="20">
        <f>'[1]Tang thu'!AH21</f>
        <v>192046</v>
      </c>
      <c r="J29" s="20">
        <f>'[1]Tang thu'!AI21+'[1]Tong thu 2015 (CT)'!M23-K25</f>
        <v>1318904.0326449201</v>
      </c>
      <c r="K29" s="20">
        <f>K25</f>
        <v>34220</v>
      </c>
    </row>
    <row r="30" spans="1:11" hidden="1">
      <c r="B30" s="18" t="s">
        <v>314</v>
      </c>
      <c r="C30" s="20"/>
      <c r="D30" s="20">
        <f>D25-D29</f>
        <v>426642</v>
      </c>
      <c r="E30" s="20">
        <f>E29-E25</f>
        <v>-86905</v>
      </c>
      <c r="F30" s="20">
        <f>F29-F25</f>
        <v>-339737.9259547065</v>
      </c>
      <c r="G30" s="20">
        <f>G29-G25</f>
        <v>0</v>
      </c>
      <c r="H30" s="20">
        <f>H25-H29</f>
        <v>58576</v>
      </c>
      <c r="I30" s="20">
        <f>I29-I25</f>
        <v>48196</v>
      </c>
      <c r="J30" s="20">
        <f>J29-J25</f>
        <v>-106771.96735507995</v>
      </c>
      <c r="K30" s="20">
        <f>K29-K25</f>
        <v>0</v>
      </c>
    </row>
  </sheetData>
  <mergeCells count="21">
    <mergeCell ref="H27:K27"/>
    <mergeCell ref="H26:K26"/>
    <mergeCell ref="A25:B25"/>
    <mergeCell ref="A4:K4"/>
    <mergeCell ref="D10:D11"/>
    <mergeCell ref="E10:G10"/>
    <mergeCell ref="H10:H11"/>
    <mergeCell ref="I10:K10"/>
    <mergeCell ref="A5:K5"/>
    <mergeCell ref="A6:K6"/>
    <mergeCell ref="A8:A11"/>
    <mergeCell ref="B8:B11"/>
    <mergeCell ref="C8:K8"/>
    <mergeCell ref="I7:K7"/>
    <mergeCell ref="C9:C11"/>
    <mergeCell ref="D9:G9"/>
    <mergeCell ref="A1:D1"/>
    <mergeCell ref="G1:L1"/>
    <mergeCell ref="A2:D2"/>
    <mergeCell ref="G2:L2"/>
    <mergeCell ref="H9:K9"/>
  </mergeCells>
  <phoneticPr fontId="0" type="noConversion"/>
  <printOptions horizontalCentered="1"/>
  <pageMargins left="0" right="0" top="0.34" bottom="0.39" header="0.37" footer="0.2"/>
  <pageSetup paperSize="9" orientation="landscape" r:id="rId1"/>
  <headerFooter alignWithMargins="0">
    <oddFooter>&amp;C&amp;P/1 (PL 07)</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4"/>
  <sheetViews>
    <sheetView tabSelected="1" topLeftCell="A4" zoomScale="70" zoomScaleNormal="70" workbookViewId="0">
      <selection activeCell="I134" sqref="I134"/>
    </sheetView>
  </sheetViews>
  <sheetFormatPr defaultRowHeight="15.6"/>
  <cols>
    <col min="1" max="1" width="6.69921875" customWidth="1"/>
    <col min="2" max="2" width="42.19921875" customWidth="1"/>
    <col min="3" max="3" width="13.69921875" customWidth="1"/>
    <col min="4" max="4" width="12.8984375" customWidth="1"/>
    <col min="5" max="5" width="13.69921875" customWidth="1"/>
    <col min="6" max="6" width="12.3984375" customWidth="1"/>
    <col min="7" max="7" width="13.69921875" customWidth="1"/>
    <col min="8" max="8" width="14.19921875" customWidth="1"/>
    <col min="9" max="9" width="14.5" customWidth="1"/>
    <col min="10" max="13" width="13.69921875" customWidth="1"/>
    <col min="14" max="14" width="14.09765625" customWidth="1"/>
  </cols>
  <sheetData>
    <row r="1" spans="1:14" ht="22.8">
      <c r="A1" s="348" t="s">
        <v>993</v>
      </c>
      <c r="B1" s="348"/>
      <c r="C1" s="348"/>
      <c r="D1" s="348"/>
      <c r="E1" s="272"/>
      <c r="F1" s="272"/>
      <c r="G1" s="273"/>
      <c r="H1" s="273"/>
      <c r="I1" s="348" t="s">
        <v>994</v>
      </c>
      <c r="J1" s="348"/>
      <c r="K1" s="348"/>
      <c r="L1" s="348"/>
      <c r="M1" s="348"/>
      <c r="N1" s="348"/>
    </row>
    <row r="2" spans="1:14" ht="22.8">
      <c r="A2" s="348" t="s">
        <v>999</v>
      </c>
      <c r="B2" s="348"/>
      <c r="C2" s="348"/>
      <c r="D2" s="348"/>
      <c r="E2" s="272"/>
      <c r="F2" s="272"/>
      <c r="G2" s="273"/>
      <c r="H2" s="273"/>
      <c r="I2" s="348" t="s">
        <v>998</v>
      </c>
      <c r="J2" s="348"/>
      <c r="K2" s="348"/>
      <c r="L2" s="348"/>
      <c r="M2" s="348"/>
      <c r="N2" s="348"/>
    </row>
    <row r="3" spans="1:14" ht="22.8">
      <c r="A3" s="274"/>
      <c r="B3" s="274"/>
      <c r="C3" s="274"/>
      <c r="D3" s="274"/>
      <c r="E3" s="272"/>
      <c r="F3" s="272"/>
      <c r="G3" s="273"/>
      <c r="H3" s="273"/>
      <c r="I3" s="274"/>
      <c r="J3" s="274"/>
      <c r="K3" s="274"/>
      <c r="L3" s="274"/>
      <c r="M3" s="274"/>
      <c r="N3" s="274"/>
    </row>
    <row r="4" spans="1:14" ht="24" customHeight="1">
      <c r="A4" s="350" t="s">
        <v>952</v>
      </c>
      <c r="B4" s="350"/>
      <c r="C4" s="350"/>
      <c r="D4" s="350"/>
      <c r="E4" s="350"/>
      <c r="F4" s="350"/>
      <c r="G4" s="350"/>
      <c r="H4" s="350"/>
      <c r="I4" s="350"/>
      <c r="J4" s="350"/>
      <c r="K4" s="350"/>
      <c r="L4" s="350"/>
      <c r="M4" s="350"/>
      <c r="N4" s="350"/>
    </row>
    <row r="5" spans="1:14" ht="30" customHeight="1">
      <c r="A5" s="342" t="s">
        <v>953</v>
      </c>
      <c r="B5" s="342"/>
      <c r="C5" s="342"/>
      <c r="D5" s="342"/>
      <c r="E5" s="342"/>
      <c r="F5" s="342"/>
      <c r="G5" s="342"/>
      <c r="H5" s="342"/>
      <c r="I5" s="342"/>
      <c r="J5" s="342"/>
      <c r="K5" s="342"/>
      <c r="L5" s="342"/>
      <c r="M5" s="342"/>
      <c r="N5" s="342"/>
    </row>
    <row r="6" spans="1:14" ht="30.75" customHeight="1">
      <c r="A6" s="344" t="s">
        <v>996</v>
      </c>
      <c r="B6" s="344"/>
      <c r="C6" s="344"/>
      <c r="D6" s="344"/>
      <c r="E6" s="344"/>
      <c r="F6" s="344"/>
      <c r="G6" s="344"/>
      <c r="H6" s="344"/>
      <c r="I6" s="344"/>
      <c r="J6" s="344"/>
      <c r="K6" s="344"/>
      <c r="L6" s="344"/>
      <c r="M6" s="344"/>
      <c r="N6" s="344"/>
    </row>
    <row r="7" spans="1:14" s="152" customFormat="1" ht="27.75" customHeight="1">
      <c r="A7" s="343" t="s">
        <v>0</v>
      </c>
      <c r="B7" s="343"/>
      <c r="C7" s="343"/>
      <c r="D7" s="343"/>
      <c r="E7" s="343"/>
      <c r="F7" s="343"/>
      <c r="G7" s="343"/>
      <c r="H7" s="343"/>
      <c r="I7" s="343"/>
      <c r="J7" s="343"/>
      <c r="K7" s="343"/>
      <c r="L7" s="343"/>
      <c r="M7" s="343"/>
      <c r="N7" s="343"/>
    </row>
    <row r="8" spans="1:14" ht="19.5" customHeight="1">
      <c r="A8" s="345" t="s">
        <v>727</v>
      </c>
      <c r="B8" s="345" t="s">
        <v>728</v>
      </c>
      <c r="C8" s="345" t="s">
        <v>729</v>
      </c>
      <c r="D8" s="345" t="s">
        <v>730</v>
      </c>
      <c r="E8" s="345"/>
      <c r="F8" s="345" t="s">
        <v>731</v>
      </c>
      <c r="G8" s="345"/>
      <c r="H8" s="345" t="s">
        <v>732</v>
      </c>
      <c r="I8" s="345"/>
      <c r="J8" s="346" t="s">
        <v>733</v>
      </c>
      <c r="K8" s="346" t="s">
        <v>734</v>
      </c>
      <c r="L8" s="346"/>
      <c r="M8" s="346" t="s">
        <v>735</v>
      </c>
      <c r="N8" s="345" t="s">
        <v>736</v>
      </c>
    </row>
    <row r="9" spans="1:14" ht="24.75" customHeight="1">
      <c r="A9" s="345"/>
      <c r="B9" s="345"/>
      <c r="C9" s="345"/>
      <c r="D9" s="345"/>
      <c r="E9" s="345"/>
      <c r="F9" s="345"/>
      <c r="G9" s="345"/>
      <c r="H9" s="345"/>
      <c r="I9" s="345"/>
      <c r="J9" s="346"/>
      <c r="K9" s="346"/>
      <c r="L9" s="346"/>
      <c r="M9" s="346"/>
      <c r="N9" s="345"/>
    </row>
    <row r="10" spans="1:14" ht="20.25" customHeight="1">
      <c r="A10" s="345"/>
      <c r="B10" s="345"/>
      <c r="C10" s="345"/>
      <c r="D10" s="345" t="s">
        <v>737</v>
      </c>
      <c r="E10" s="345" t="s">
        <v>738</v>
      </c>
      <c r="F10" s="345" t="s">
        <v>737</v>
      </c>
      <c r="G10" s="345" t="s">
        <v>738</v>
      </c>
      <c r="H10" s="345" t="s">
        <v>739</v>
      </c>
      <c r="I10" s="351" t="s">
        <v>740</v>
      </c>
      <c r="J10" s="346"/>
      <c r="K10" s="346" t="s">
        <v>2</v>
      </c>
      <c r="L10" s="347" t="s">
        <v>741</v>
      </c>
      <c r="M10" s="346"/>
      <c r="N10" s="345"/>
    </row>
    <row r="11" spans="1:14" ht="27.75" customHeight="1">
      <c r="A11" s="345"/>
      <c r="B11" s="345"/>
      <c r="C11" s="345"/>
      <c r="D11" s="345"/>
      <c r="E11" s="345"/>
      <c r="F11" s="345"/>
      <c r="G11" s="345"/>
      <c r="H11" s="345"/>
      <c r="I11" s="351"/>
      <c r="J11" s="346"/>
      <c r="K11" s="346"/>
      <c r="L11" s="347"/>
      <c r="M11" s="346"/>
      <c r="N11" s="345"/>
    </row>
    <row r="12" spans="1:14" ht="26.25" customHeight="1">
      <c r="A12" s="345"/>
      <c r="B12" s="345"/>
      <c r="C12" s="345"/>
      <c r="D12" s="345"/>
      <c r="E12" s="345"/>
      <c r="F12" s="345"/>
      <c r="G12" s="345"/>
      <c r="H12" s="345"/>
      <c r="I12" s="351"/>
      <c r="J12" s="346"/>
      <c r="K12" s="346"/>
      <c r="L12" s="347"/>
      <c r="M12" s="346"/>
      <c r="N12" s="345"/>
    </row>
    <row r="13" spans="1:14" ht="33" customHeight="1">
      <c r="A13" s="345"/>
      <c r="B13" s="345"/>
      <c r="C13" s="345"/>
      <c r="D13" s="345"/>
      <c r="E13" s="345"/>
      <c r="F13" s="345"/>
      <c r="G13" s="345"/>
      <c r="H13" s="345"/>
      <c r="I13" s="351"/>
      <c r="J13" s="346"/>
      <c r="K13" s="346"/>
      <c r="L13" s="347"/>
      <c r="M13" s="346"/>
      <c r="N13" s="345"/>
    </row>
    <row r="14" spans="1:14" s="152" customFormat="1" ht="29.25" customHeight="1">
      <c r="A14" s="153"/>
      <c r="B14" s="154" t="s">
        <v>742</v>
      </c>
      <c r="C14" s="155"/>
      <c r="D14" s="156"/>
      <c r="E14" s="157">
        <f>+E15+E34+E37+E38+E39+E40+E88+E130</f>
        <v>8340260.949000001</v>
      </c>
      <c r="F14" s="157">
        <f t="shared" ref="F14:M14" si="0">+F15+F34+F37+F38+F39+F40+F88+F130</f>
        <v>0</v>
      </c>
      <c r="G14" s="221">
        <f t="shared" si="0"/>
        <v>1941059.477</v>
      </c>
      <c r="H14" s="221">
        <f t="shared" si="0"/>
        <v>3369933.179</v>
      </c>
      <c r="I14" s="221">
        <f t="shared" si="0"/>
        <v>64500</v>
      </c>
      <c r="J14" s="221">
        <f t="shared" si="0"/>
        <v>1996746.9329999997</v>
      </c>
      <c r="K14" s="221">
        <f t="shared" si="0"/>
        <v>684906.73300000001</v>
      </c>
      <c r="L14" s="221">
        <f t="shared" si="0"/>
        <v>94016.317999999999</v>
      </c>
      <c r="M14" s="221">
        <f t="shared" si="0"/>
        <v>541900</v>
      </c>
      <c r="N14" s="154"/>
    </row>
    <row r="15" spans="1:14" s="152" customFormat="1" ht="35.25" customHeight="1">
      <c r="A15" s="153" t="s">
        <v>36</v>
      </c>
      <c r="B15" s="158" t="s">
        <v>743</v>
      </c>
      <c r="C15" s="155"/>
      <c r="D15" s="156"/>
      <c r="E15" s="157">
        <f>+E16+E19</f>
        <v>2412154.06</v>
      </c>
      <c r="F15" s="157">
        <f t="shared" ref="F15:M15" si="1">+F16+F19</f>
        <v>0</v>
      </c>
      <c r="G15" s="221">
        <f t="shared" si="1"/>
        <v>0</v>
      </c>
      <c r="H15" s="221">
        <f t="shared" si="1"/>
        <v>431811</v>
      </c>
      <c r="I15" s="221">
        <f t="shared" si="1"/>
        <v>64500</v>
      </c>
      <c r="J15" s="221">
        <f t="shared" si="1"/>
        <v>0</v>
      </c>
      <c r="K15" s="221">
        <f t="shared" si="1"/>
        <v>0</v>
      </c>
      <c r="L15" s="221">
        <f t="shared" si="1"/>
        <v>0</v>
      </c>
      <c r="M15" s="221">
        <f t="shared" si="1"/>
        <v>64500</v>
      </c>
      <c r="N15" s="154"/>
    </row>
    <row r="16" spans="1:14" s="152" customFormat="1" ht="33" customHeight="1">
      <c r="A16" s="153" t="s">
        <v>39</v>
      </c>
      <c r="B16" s="158" t="s">
        <v>744</v>
      </c>
      <c r="C16" s="155"/>
      <c r="D16" s="156"/>
      <c r="E16" s="157">
        <f>SUM(E17:E18)</f>
        <v>249842</v>
      </c>
      <c r="F16" s="157">
        <f t="shared" ref="F16:M16" si="2">SUM(F17:F18)</f>
        <v>0</v>
      </c>
      <c r="G16" s="221">
        <f t="shared" si="2"/>
        <v>0</v>
      </c>
      <c r="H16" s="221">
        <f t="shared" si="2"/>
        <v>120700</v>
      </c>
      <c r="I16" s="221">
        <f t="shared" si="2"/>
        <v>10000</v>
      </c>
      <c r="J16" s="221">
        <f t="shared" si="2"/>
        <v>0</v>
      </c>
      <c r="K16" s="221">
        <f t="shared" si="2"/>
        <v>0</v>
      </c>
      <c r="L16" s="221">
        <f t="shared" si="2"/>
        <v>0</v>
      </c>
      <c r="M16" s="221">
        <f t="shared" si="2"/>
        <v>10000</v>
      </c>
      <c r="N16" s="154"/>
    </row>
    <row r="17" spans="1:14" s="152" customFormat="1" ht="51" customHeight="1">
      <c r="A17" s="159">
        <v>1</v>
      </c>
      <c r="B17" s="160" t="s">
        <v>1003</v>
      </c>
      <c r="C17" s="161" t="s">
        <v>745</v>
      </c>
      <c r="D17" s="162" t="s">
        <v>746</v>
      </c>
      <c r="E17" s="163">
        <v>128070</v>
      </c>
      <c r="F17" s="164"/>
      <c r="G17" s="222"/>
      <c r="H17" s="223">
        <v>58800</v>
      </c>
      <c r="I17" s="223">
        <v>5000</v>
      </c>
      <c r="J17" s="223"/>
      <c r="K17" s="223"/>
      <c r="L17" s="223"/>
      <c r="M17" s="223">
        <v>5000</v>
      </c>
      <c r="N17" s="162"/>
    </row>
    <row r="18" spans="1:14" s="152" customFormat="1" ht="54" customHeight="1">
      <c r="A18" s="159">
        <v>2</v>
      </c>
      <c r="B18" s="160" t="s">
        <v>747</v>
      </c>
      <c r="C18" s="161" t="s">
        <v>748</v>
      </c>
      <c r="D18" s="162" t="s">
        <v>749</v>
      </c>
      <c r="E18" s="163">
        <v>121772</v>
      </c>
      <c r="F18" s="164"/>
      <c r="G18" s="222"/>
      <c r="H18" s="223">
        <v>61900</v>
      </c>
      <c r="I18" s="223">
        <v>5000</v>
      </c>
      <c r="J18" s="223"/>
      <c r="K18" s="223"/>
      <c r="L18" s="223"/>
      <c r="M18" s="223">
        <v>5000</v>
      </c>
      <c r="N18" s="162"/>
    </row>
    <row r="19" spans="1:14" s="152" customFormat="1" ht="36.75" customHeight="1">
      <c r="A19" s="153" t="s">
        <v>42</v>
      </c>
      <c r="B19" s="158" t="s">
        <v>750</v>
      </c>
      <c r="C19" s="155"/>
      <c r="D19" s="156"/>
      <c r="E19" s="157">
        <f>SUM(E20:E33)</f>
        <v>2162312.06</v>
      </c>
      <c r="F19" s="157">
        <f t="shared" ref="F19:M19" si="3">SUM(F20:F33)</f>
        <v>0</v>
      </c>
      <c r="G19" s="221">
        <f t="shared" si="3"/>
        <v>0</v>
      </c>
      <c r="H19" s="221">
        <f t="shared" si="3"/>
        <v>311111</v>
      </c>
      <c r="I19" s="221">
        <f t="shared" si="3"/>
        <v>54500</v>
      </c>
      <c r="J19" s="221">
        <f t="shared" si="3"/>
        <v>0</v>
      </c>
      <c r="K19" s="221">
        <f t="shared" si="3"/>
        <v>0</v>
      </c>
      <c r="L19" s="221">
        <f t="shared" si="3"/>
        <v>0</v>
      </c>
      <c r="M19" s="221">
        <f t="shared" si="3"/>
        <v>54500</v>
      </c>
      <c r="N19" s="154"/>
    </row>
    <row r="20" spans="1:14" s="152" customFormat="1" ht="54" customHeight="1">
      <c r="A20" s="159">
        <v>1</v>
      </c>
      <c r="B20" s="160" t="s">
        <v>751</v>
      </c>
      <c r="C20" s="161" t="s">
        <v>752</v>
      </c>
      <c r="D20" s="162" t="s">
        <v>753</v>
      </c>
      <c r="E20" s="163">
        <v>14451.6</v>
      </c>
      <c r="F20" s="164"/>
      <c r="G20" s="222"/>
      <c r="H20" s="223">
        <v>9000</v>
      </c>
      <c r="I20" s="223">
        <v>9000</v>
      </c>
      <c r="J20" s="223"/>
      <c r="K20" s="223"/>
      <c r="L20" s="223"/>
      <c r="M20" s="223">
        <v>9000</v>
      </c>
      <c r="N20" s="162"/>
    </row>
    <row r="21" spans="1:14" s="152" customFormat="1" ht="51" customHeight="1">
      <c r="A21" s="159">
        <v>2</v>
      </c>
      <c r="B21" s="160" t="s">
        <v>754</v>
      </c>
      <c r="C21" s="161" t="s">
        <v>302</v>
      </c>
      <c r="D21" s="162" t="s">
        <v>755</v>
      </c>
      <c r="E21" s="163">
        <v>5880</v>
      </c>
      <c r="F21" s="164"/>
      <c r="G21" s="222"/>
      <c r="H21" s="223">
        <v>2900</v>
      </c>
      <c r="I21" s="223">
        <v>2500</v>
      </c>
      <c r="J21" s="223"/>
      <c r="K21" s="223"/>
      <c r="L21" s="223"/>
      <c r="M21" s="223">
        <v>2500</v>
      </c>
      <c r="N21" s="162"/>
    </row>
    <row r="22" spans="1:14" s="152" customFormat="1" ht="54" customHeight="1">
      <c r="A22" s="159">
        <v>3</v>
      </c>
      <c r="B22" s="160" t="s">
        <v>756</v>
      </c>
      <c r="C22" s="161" t="s">
        <v>757</v>
      </c>
      <c r="D22" s="162"/>
      <c r="E22" s="163">
        <v>337043</v>
      </c>
      <c r="F22" s="164"/>
      <c r="G22" s="222"/>
      <c r="H22" s="223">
        <v>14000</v>
      </c>
      <c r="I22" s="223">
        <v>13000</v>
      </c>
      <c r="J22" s="223"/>
      <c r="K22" s="223"/>
      <c r="L22" s="223"/>
      <c r="M22" s="223">
        <v>13000</v>
      </c>
      <c r="N22" s="162"/>
    </row>
    <row r="23" spans="1:14" s="152" customFormat="1" ht="52.5" customHeight="1">
      <c r="A23" s="159">
        <v>4</v>
      </c>
      <c r="B23" s="160" t="s">
        <v>1004</v>
      </c>
      <c r="C23" s="161" t="s">
        <v>748</v>
      </c>
      <c r="D23" s="162" t="s">
        <v>749</v>
      </c>
      <c r="E23" s="163">
        <v>121772</v>
      </c>
      <c r="F23" s="164"/>
      <c r="G23" s="222"/>
      <c r="H23" s="223">
        <v>61900</v>
      </c>
      <c r="I23" s="223">
        <v>6000</v>
      </c>
      <c r="J23" s="223"/>
      <c r="K23" s="223"/>
      <c r="L23" s="223"/>
      <c r="M23" s="223">
        <v>6000</v>
      </c>
      <c r="N23" s="162"/>
    </row>
    <row r="24" spans="1:14" s="152" customFormat="1" ht="81" customHeight="1">
      <c r="A24" s="159">
        <v>5</v>
      </c>
      <c r="B24" s="160" t="s">
        <v>758</v>
      </c>
      <c r="C24" s="161" t="s">
        <v>757</v>
      </c>
      <c r="D24" s="162" t="s">
        <v>759</v>
      </c>
      <c r="E24" s="163">
        <v>59620</v>
      </c>
      <c r="F24" s="164"/>
      <c r="G24" s="222"/>
      <c r="H24" s="223">
        <v>21673</v>
      </c>
      <c r="I24" s="223">
        <v>3000</v>
      </c>
      <c r="J24" s="223"/>
      <c r="K24" s="223"/>
      <c r="L24" s="223"/>
      <c r="M24" s="223">
        <v>3000</v>
      </c>
      <c r="N24" s="162"/>
    </row>
    <row r="25" spans="1:14" s="152" customFormat="1" ht="59.25" customHeight="1">
      <c r="A25" s="159">
        <v>6</v>
      </c>
      <c r="B25" s="160" t="s">
        <v>760</v>
      </c>
      <c r="C25" s="161" t="s">
        <v>649</v>
      </c>
      <c r="D25" s="162" t="s">
        <v>761</v>
      </c>
      <c r="E25" s="163">
        <v>4947.6000000000004</v>
      </c>
      <c r="F25" s="164"/>
      <c r="G25" s="222"/>
      <c r="H25" s="223"/>
      <c r="I25" s="223">
        <v>2000</v>
      </c>
      <c r="J25" s="223"/>
      <c r="K25" s="223"/>
      <c r="L25" s="223"/>
      <c r="M25" s="223">
        <v>2000</v>
      </c>
      <c r="N25" s="162"/>
    </row>
    <row r="26" spans="1:14" s="152" customFormat="1" ht="51" customHeight="1">
      <c r="A26" s="159">
        <v>7</v>
      </c>
      <c r="B26" s="160" t="s">
        <v>762</v>
      </c>
      <c r="C26" s="161" t="s">
        <v>757</v>
      </c>
      <c r="D26" s="162" t="s">
        <v>763</v>
      </c>
      <c r="E26" s="163">
        <v>703832</v>
      </c>
      <c r="F26" s="164"/>
      <c r="G26" s="222"/>
      <c r="H26" s="223">
        <v>35900</v>
      </c>
      <c r="I26" s="223">
        <v>1500</v>
      </c>
      <c r="J26" s="223"/>
      <c r="K26" s="223"/>
      <c r="L26" s="223"/>
      <c r="M26" s="223">
        <v>1500</v>
      </c>
      <c r="N26" s="162"/>
    </row>
    <row r="27" spans="1:14" s="152" customFormat="1" ht="60" customHeight="1">
      <c r="A27" s="159">
        <v>8</v>
      </c>
      <c r="B27" s="160" t="s">
        <v>764</v>
      </c>
      <c r="C27" s="161" t="s">
        <v>302</v>
      </c>
      <c r="D27" s="162"/>
      <c r="E27" s="163"/>
      <c r="F27" s="164"/>
      <c r="G27" s="222"/>
      <c r="H27" s="223"/>
      <c r="I27" s="223">
        <v>4000</v>
      </c>
      <c r="J27" s="223"/>
      <c r="K27" s="223"/>
      <c r="L27" s="223"/>
      <c r="M27" s="223">
        <v>4000</v>
      </c>
      <c r="N27" s="162"/>
    </row>
    <row r="28" spans="1:14" s="152" customFormat="1" ht="59.25" customHeight="1">
      <c r="A28" s="159">
        <v>9</v>
      </c>
      <c r="B28" s="160" t="s">
        <v>765</v>
      </c>
      <c r="C28" s="161" t="s">
        <v>766</v>
      </c>
      <c r="D28" s="162" t="s">
        <v>767</v>
      </c>
      <c r="E28" s="163">
        <v>367032</v>
      </c>
      <c r="F28" s="164"/>
      <c r="G28" s="222"/>
      <c r="H28" s="223">
        <v>138700</v>
      </c>
      <c r="I28" s="223">
        <v>6700</v>
      </c>
      <c r="J28" s="223"/>
      <c r="K28" s="223"/>
      <c r="L28" s="223"/>
      <c r="M28" s="223">
        <v>6700</v>
      </c>
      <c r="N28" s="162"/>
    </row>
    <row r="29" spans="1:14" s="152" customFormat="1" ht="54" customHeight="1">
      <c r="A29" s="159">
        <v>10</v>
      </c>
      <c r="B29" s="160" t="s">
        <v>1005</v>
      </c>
      <c r="C29" s="161" t="s">
        <v>768</v>
      </c>
      <c r="D29" s="162" t="s">
        <v>769</v>
      </c>
      <c r="E29" s="163">
        <v>144952</v>
      </c>
      <c r="F29" s="164"/>
      <c r="G29" s="222"/>
      <c r="H29" s="223">
        <v>11977</v>
      </c>
      <c r="I29" s="223">
        <v>1000</v>
      </c>
      <c r="J29" s="223"/>
      <c r="K29" s="223"/>
      <c r="L29" s="223"/>
      <c r="M29" s="223">
        <v>1000</v>
      </c>
      <c r="N29" s="162"/>
    </row>
    <row r="30" spans="1:14" s="152" customFormat="1" ht="63.75" customHeight="1">
      <c r="A30" s="159">
        <v>11</v>
      </c>
      <c r="B30" s="160" t="s">
        <v>770</v>
      </c>
      <c r="C30" s="161" t="s">
        <v>757</v>
      </c>
      <c r="D30" s="162" t="s">
        <v>771</v>
      </c>
      <c r="E30" s="163">
        <v>18104.86</v>
      </c>
      <c r="F30" s="164"/>
      <c r="G30" s="222"/>
      <c r="H30" s="223">
        <v>1800</v>
      </c>
      <c r="I30" s="223">
        <v>900</v>
      </c>
      <c r="J30" s="223"/>
      <c r="K30" s="223"/>
      <c r="L30" s="223"/>
      <c r="M30" s="223">
        <v>900</v>
      </c>
      <c r="N30" s="162"/>
    </row>
    <row r="31" spans="1:14" s="152" customFormat="1" ht="54" customHeight="1">
      <c r="A31" s="159">
        <v>12</v>
      </c>
      <c r="B31" s="160" t="s">
        <v>772</v>
      </c>
      <c r="C31" s="161" t="s">
        <v>757</v>
      </c>
      <c r="D31" s="162" t="s">
        <v>773</v>
      </c>
      <c r="E31" s="163">
        <v>187678</v>
      </c>
      <c r="F31" s="164"/>
      <c r="G31" s="222"/>
      <c r="H31" s="223">
        <v>6861</v>
      </c>
      <c r="I31" s="223">
        <v>1000</v>
      </c>
      <c r="J31" s="223"/>
      <c r="K31" s="223"/>
      <c r="L31" s="223"/>
      <c r="M31" s="223">
        <v>1000</v>
      </c>
      <c r="N31" s="162"/>
    </row>
    <row r="32" spans="1:14" s="152" customFormat="1" ht="54" customHeight="1">
      <c r="A32" s="159">
        <v>13</v>
      </c>
      <c r="B32" s="160" t="s">
        <v>774</v>
      </c>
      <c r="C32" s="161" t="s">
        <v>757</v>
      </c>
      <c r="D32" s="162" t="s">
        <v>775</v>
      </c>
      <c r="E32" s="163">
        <v>196999</v>
      </c>
      <c r="F32" s="164"/>
      <c r="G32" s="222"/>
      <c r="H32" s="223">
        <v>6400</v>
      </c>
      <c r="I32" s="223">
        <v>1500</v>
      </c>
      <c r="J32" s="223"/>
      <c r="K32" s="223"/>
      <c r="L32" s="223"/>
      <c r="M32" s="223">
        <v>1500</v>
      </c>
      <c r="N32" s="162"/>
    </row>
    <row r="33" spans="1:14" s="152" customFormat="1" ht="54.75" customHeight="1">
      <c r="A33" s="159">
        <v>14</v>
      </c>
      <c r="B33" s="160" t="s">
        <v>776</v>
      </c>
      <c r="C33" s="161" t="s">
        <v>757</v>
      </c>
      <c r="D33" s="162"/>
      <c r="E33" s="163"/>
      <c r="F33" s="164"/>
      <c r="G33" s="222"/>
      <c r="H33" s="223"/>
      <c r="I33" s="223">
        <v>2400</v>
      </c>
      <c r="J33" s="223"/>
      <c r="K33" s="223"/>
      <c r="L33" s="223"/>
      <c r="M33" s="223">
        <v>2400</v>
      </c>
      <c r="N33" s="162"/>
    </row>
    <row r="34" spans="1:14" s="152" customFormat="1" ht="53.25" customHeight="1">
      <c r="A34" s="153" t="s">
        <v>60</v>
      </c>
      <c r="B34" s="158" t="s">
        <v>777</v>
      </c>
      <c r="C34" s="155"/>
      <c r="D34" s="156"/>
      <c r="E34" s="157">
        <f>+E35+E36</f>
        <v>121962</v>
      </c>
      <c r="F34" s="157">
        <f t="shared" ref="F34:M34" si="4">+F35+F36</f>
        <v>0</v>
      </c>
      <c r="G34" s="221">
        <f t="shared" si="4"/>
        <v>0</v>
      </c>
      <c r="H34" s="221">
        <f t="shared" si="4"/>
        <v>11049.2</v>
      </c>
      <c r="I34" s="221">
        <f t="shared" si="4"/>
        <v>0</v>
      </c>
      <c r="J34" s="221">
        <f t="shared" si="4"/>
        <v>0</v>
      </c>
      <c r="K34" s="221">
        <f t="shared" si="4"/>
        <v>42000</v>
      </c>
      <c r="L34" s="221">
        <f t="shared" si="4"/>
        <v>0</v>
      </c>
      <c r="M34" s="221">
        <f t="shared" si="4"/>
        <v>35000</v>
      </c>
      <c r="N34" s="154"/>
    </row>
    <row r="35" spans="1:14" s="152" customFormat="1" ht="59.25" customHeight="1">
      <c r="A35" s="159">
        <v>1</v>
      </c>
      <c r="B35" s="160" t="s">
        <v>778</v>
      </c>
      <c r="C35" s="161" t="s">
        <v>779</v>
      </c>
      <c r="D35" s="162" t="s">
        <v>956</v>
      </c>
      <c r="E35" s="163">
        <v>23264</v>
      </c>
      <c r="F35" s="164"/>
      <c r="G35" s="222"/>
      <c r="H35" s="223">
        <v>3049.2</v>
      </c>
      <c r="I35" s="223"/>
      <c r="J35" s="223"/>
      <c r="K35" s="223">
        <v>7000</v>
      </c>
      <c r="L35" s="223"/>
      <c r="M35" s="223">
        <v>5000</v>
      </c>
      <c r="N35" s="162"/>
    </row>
    <row r="36" spans="1:14" s="152" customFormat="1" ht="63.75" customHeight="1">
      <c r="A36" s="165">
        <v>2</v>
      </c>
      <c r="B36" s="160" t="s">
        <v>780</v>
      </c>
      <c r="C36" s="161" t="s">
        <v>781</v>
      </c>
      <c r="D36" s="162" t="s">
        <v>957</v>
      </c>
      <c r="E36" s="163">
        <v>98698</v>
      </c>
      <c r="F36" s="163"/>
      <c r="G36" s="223"/>
      <c r="H36" s="223">
        <v>8000</v>
      </c>
      <c r="I36" s="223"/>
      <c r="J36" s="223"/>
      <c r="K36" s="223">
        <v>35000</v>
      </c>
      <c r="L36" s="223"/>
      <c r="M36" s="223">
        <v>30000</v>
      </c>
      <c r="N36" s="162"/>
    </row>
    <row r="37" spans="1:14" s="152" customFormat="1" ht="66" customHeight="1">
      <c r="A37" s="153" t="s">
        <v>206</v>
      </c>
      <c r="B37" s="158" t="s">
        <v>782</v>
      </c>
      <c r="C37" s="155"/>
      <c r="D37" s="156"/>
      <c r="E37" s="155"/>
      <c r="F37" s="155"/>
      <c r="G37" s="224"/>
      <c r="H37" s="224"/>
      <c r="I37" s="224"/>
      <c r="J37" s="224"/>
      <c r="K37" s="224"/>
      <c r="L37" s="224"/>
      <c r="M37" s="224">
        <v>50000</v>
      </c>
      <c r="N37" s="154" t="s">
        <v>783</v>
      </c>
    </row>
    <row r="38" spans="1:14" s="152" customFormat="1" ht="39.75" customHeight="1">
      <c r="A38" s="153" t="s">
        <v>260</v>
      </c>
      <c r="B38" s="158" t="s">
        <v>784</v>
      </c>
      <c r="C38" s="155"/>
      <c r="D38" s="156"/>
      <c r="E38" s="155"/>
      <c r="F38" s="155"/>
      <c r="G38" s="224"/>
      <c r="H38" s="224"/>
      <c r="I38" s="224"/>
      <c r="J38" s="224"/>
      <c r="K38" s="224"/>
      <c r="L38" s="224"/>
      <c r="M38" s="224">
        <v>20000</v>
      </c>
      <c r="N38" s="154" t="s">
        <v>783</v>
      </c>
    </row>
    <row r="39" spans="1:14" s="152" customFormat="1" ht="45" customHeight="1">
      <c r="A39" s="153" t="s">
        <v>262</v>
      </c>
      <c r="B39" s="158" t="s">
        <v>785</v>
      </c>
      <c r="C39" s="155"/>
      <c r="D39" s="156"/>
      <c r="E39" s="155"/>
      <c r="F39" s="155"/>
      <c r="G39" s="224"/>
      <c r="H39" s="224"/>
      <c r="I39" s="224"/>
      <c r="J39" s="224"/>
      <c r="K39" s="224"/>
      <c r="L39" s="224"/>
      <c r="M39" s="224">
        <v>30000</v>
      </c>
      <c r="N39" s="154" t="s">
        <v>783</v>
      </c>
    </row>
    <row r="40" spans="1:14" s="152" customFormat="1" ht="66" customHeight="1">
      <c r="A40" s="153" t="s">
        <v>264</v>
      </c>
      <c r="B40" s="158" t="s">
        <v>786</v>
      </c>
      <c r="C40" s="155"/>
      <c r="D40" s="156"/>
      <c r="E40" s="157">
        <f>+E41+E54</f>
        <v>4371413.7070000004</v>
      </c>
      <c r="F40" s="157">
        <f t="shared" ref="F40:M40" si="5">+F41+F54</f>
        <v>0</v>
      </c>
      <c r="G40" s="221">
        <f t="shared" si="5"/>
        <v>1627214.747</v>
      </c>
      <c r="H40" s="221">
        <f t="shared" si="5"/>
        <v>2232133.0929999999</v>
      </c>
      <c r="I40" s="221">
        <f t="shared" si="5"/>
        <v>0</v>
      </c>
      <c r="J40" s="221">
        <f t="shared" si="5"/>
        <v>1273378.3809999998</v>
      </c>
      <c r="K40" s="221">
        <f t="shared" si="5"/>
        <v>398637.81299999997</v>
      </c>
      <c r="L40" s="221">
        <f t="shared" si="5"/>
        <v>80939.317999999999</v>
      </c>
      <c r="M40" s="221">
        <f t="shared" si="5"/>
        <v>185600</v>
      </c>
      <c r="N40" s="155"/>
    </row>
    <row r="41" spans="1:14" s="152" customFormat="1" ht="48.75" customHeight="1">
      <c r="A41" s="166" t="s">
        <v>787</v>
      </c>
      <c r="B41" s="158" t="s">
        <v>788</v>
      </c>
      <c r="C41" s="155"/>
      <c r="D41" s="156"/>
      <c r="E41" s="157">
        <f>SUM(E42:E53)</f>
        <v>631162.36</v>
      </c>
      <c r="F41" s="157">
        <f t="shared" ref="F41:M41" si="6">SUM(F42:F53)</f>
        <v>0</v>
      </c>
      <c r="G41" s="221">
        <f t="shared" si="6"/>
        <v>247150</v>
      </c>
      <c r="H41" s="221">
        <f t="shared" si="6"/>
        <v>469266</v>
      </c>
      <c r="I41" s="221">
        <f t="shared" si="6"/>
        <v>0</v>
      </c>
      <c r="J41" s="221">
        <f t="shared" si="6"/>
        <v>108297</v>
      </c>
      <c r="K41" s="221">
        <f t="shared" si="6"/>
        <v>48888</v>
      </c>
      <c r="L41" s="221">
        <f t="shared" si="6"/>
        <v>22878</v>
      </c>
      <c r="M41" s="221">
        <f t="shared" si="6"/>
        <v>33500</v>
      </c>
      <c r="N41" s="154"/>
    </row>
    <row r="42" spans="1:14" s="152" customFormat="1" ht="51.75" customHeight="1">
      <c r="A42" s="167">
        <v>1</v>
      </c>
      <c r="B42" s="168" t="s">
        <v>1006</v>
      </c>
      <c r="C42" s="161" t="s">
        <v>789</v>
      </c>
      <c r="D42" s="169" t="s">
        <v>790</v>
      </c>
      <c r="E42" s="163">
        <v>63942</v>
      </c>
      <c r="F42" s="170"/>
      <c r="G42" s="223"/>
      <c r="H42" s="223">
        <v>55000</v>
      </c>
      <c r="I42" s="223"/>
      <c r="J42" s="223">
        <v>6000</v>
      </c>
      <c r="K42" s="223">
        <v>6000</v>
      </c>
      <c r="L42" s="223">
        <v>3179</v>
      </c>
      <c r="M42" s="223">
        <v>4000</v>
      </c>
      <c r="N42" s="171"/>
    </row>
    <row r="43" spans="1:14" s="152" customFormat="1" ht="61.5" customHeight="1">
      <c r="A43" s="167">
        <v>2</v>
      </c>
      <c r="B43" s="160" t="s">
        <v>791</v>
      </c>
      <c r="C43" s="161" t="s">
        <v>748</v>
      </c>
      <c r="D43" s="162" t="s">
        <v>958</v>
      </c>
      <c r="E43" s="163">
        <v>14868</v>
      </c>
      <c r="F43" s="172"/>
      <c r="G43" s="223"/>
      <c r="H43" s="223">
        <v>6910</v>
      </c>
      <c r="I43" s="223"/>
      <c r="J43" s="223">
        <v>1900</v>
      </c>
      <c r="K43" s="223">
        <v>1900</v>
      </c>
      <c r="L43" s="223"/>
      <c r="M43" s="223">
        <v>1500</v>
      </c>
      <c r="N43" s="171"/>
    </row>
    <row r="44" spans="1:14" s="152" customFormat="1" ht="54" customHeight="1">
      <c r="A44" s="167">
        <v>3</v>
      </c>
      <c r="B44" s="173" t="s">
        <v>1007</v>
      </c>
      <c r="C44" s="161" t="s">
        <v>302</v>
      </c>
      <c r="D44" s="162" t="s">
        <v>792</v>
      </c>
      <c r="E44" s="163">
        <v>54873</v>
      </c>
      <c r="F44" s="162" t="s">
        <v>793</v>
      </c>
      <c r="G44" s="223">
        <v>66571</v>
      </c>
      <c r="H44" s="223">
        <v>58000</v>
      </c>
      <c r="I44" s="223"/>
      <c r="J44" s="223">
        <v>4000</v>
      </c>
      <c r="K44" s="223">
        <v>4000</v>
      </c>
      <c r="L44" s="223">
        <v>4000</v>
      </c>
      <c r="M44" s="223">
        <v>3000</v>
      </c>
      <c r="N44" s="171"/>
    </row>
    <row r="45" spans="1:14" s="152" customFormat="1" ht="49.5" customHeight="1">
      <c r="A45" s="167">
        <v>4</v>
      </c>
      <c r="B45" s="160" t="s">
        <v>1008</v>
      </c>
      <c r="C45" s="161" t="s">
        <v>752</v>
      </c>
      <c r="D45" s="162" t="s">
        <v>794</v>
      </c>
      <c r="E45" s="163">
        <v>42300</v>
      </c>
      <c r="F45" s="174"/>
      <c r="G45" s="223"/>
      <c r="H45" s="223">
        <v>22431</v>
      </c>
      <c r="I45" s="223"/>
      <c r="J45" s="223">
        <v>19869</v>
      </c>
      <c r="K45" s="223">
        <v>4963</v>
      </c>
      <c r="L45" s="223">
        <v>4963</v>
      </c>
      <c r="M45" s="223">
        <v>3000</v>
      </c>
      <c r="N45" s="162"/>
    </row>
    <row r="46" spans="1:14" s="152" customFormat="1" ht="72">
      <c r="A46" s="167">
        <v>5</v>
      </c>
      <c r="B46" s="160" t="s">
        <v>1009</v>
      </c>
      <c r="C46" s="161" t="s">
        <v>768</v>
      </c>
      <c r="D46" s="162" t="s">
        <v>795</v>
      </c>
      <c r="E46" s="163">
        <v>138841</v>
      </c>
      <c r="F46" s="276" t="s">
        <v>1010</v>
      </c>
      <c r="G46" s="277">
        <v>89498</v>
      </c>
      <c r="H46" s="223">
        <v>62800</v>
      </c>
      <c r="I46" s="223"/>
      <c r="J46" s="223">
        <v>18260</v>
      </c>
      <c r="K46" s="223">
        <v>6300</v>
      </c>
      <c r="L46" s="223"/>
      <c r="M46" s="223">
        <v>4000</v>
      </c>
      <c r="N46" s="171"/>
    </row>
    <row r="47" spans="1:14" s="152" customFormat="1" ht="51" customHeight="1">
      <c r="A47" s="167">
        <v>6</v>
      </c>
      <c r="B47" s="176" t="s">
        <v>1011</v>
      </c>
      <c r="C47" s="161" t="s">
        <v>302</v>
      </c>
      <c r="D47" s="172" t="s">
        <v>796</v>
      </c>
      <c r="E47" s="163">
        <v>34016</v>
      </c>
      <c r="F47" s="172" t="s">
        <v>797</v>
      </c>
      <c r="G47" s="223">
        <v>49600</v>
      </c>
      <c r="H47" s="223">
        <v>37000</v>
      </c>
      <c r="I47" s="223"/>
      <c r="J47" s="223">
        <v>8600</v>
      </c>
      <c r="K47" s="223">
        <v>3600</v>
      </c>
      <c r="L47" s="223"/>
      <c r="M47" s="223">
        <v>2000</v>
      </c>
      <c r="N47" s="171"/>
    </row>
    <row r="48" spans="1:14" s="152" customFormat="1" ht="48" customHeight="1">
      <c r="A48" s="167">
        <v>7</v>
      </c>
      <c r="B48" s="177" t="s">
        <v>798</v>
      </c>
      <c r="C48" s="161" t="s">
        <v>302</v>
      </c>
      <c r="D48" s="178" t="s">
        <v>799</v>
      </c>
      <c r="E48" s="163">
        <v>30015</v>
      </c>
      <c r="F48" s="172" t="s">
        <v>800</v>
      </c>
      <c r="G48" s="223">
        <v>41481</v>
      </c>
      <c r="H48" s="223">
        <v>33100</v>
      </c>
      <c r="I48" s="223"/>
      <c r="J48" s="223">
        <v>7381</v>
      </c>
      <c r="K48" s="223">
        <v>2700</v>
      </c>
      <c r="L48" s="223">
        <v>1436</v>
      </c>
      <c r="M48" s="223">
        <v>2000</v>
      </c>
      <c r="N48" s="171"/>
    </row>
    <row r="49" spans="1:14" s="152" customFormat="1" ht="47.25" customHeight="1">
      <c r="A49" s="167">
        <v>8</v>
      </c>
      <c r="B49" s="160" t="s">
        <v>801</v>
      </c>
      <c r="C49" s="161" t="s">
        <v>768</v>
      </c>
      <c r="D49" s="162" t="s">
        <v>802</v>
      </c>
      <c r="E49" s="163">
        <v>54342</v>
      </c>
      <c r="F49" s="175"/>
      <c r="G49" s="223"/>
      <c r="H49" s="223">
        <v>48369</v>
      </c>
      <c r="I49" s="223"/>
      <c r="J49" s="223">
        <v>3000</v>
      </c>
      <c r="K49" s="223">
        <v>3000</v>
      </c>
      <c r="L49" s="223"/>
      <c r="M49" s="223">
        <v>2000</v>
      </c>
      <c r="N49" s="171"/>
    </row>
    <row r="50" spans="1:14" s="152" customFormat="1" ht="48.75" customHeight="1">
      <c r="A50" s="167">
        <v>9</v>
      </c>
      <c r="B50" s="179" t="s">
        <v>803</v>
      </c>
      <c r="C50" s="161" t="s">
        <v>766</v>
      </c>
      <c r="D50" s="180" t="s">
        <v>804</v>
      </c>
      <c r="E50" s="163">
        <v>39400</v>
      </c>
      <c r="F50" s="180"/>
      <c r="G50" s="223"/>
      <c r="H50" s="223">
        <v>16702</v>
      </c>
      <c r="I50" s="223"/>
      <c r="J50" s="223">
        <v>19173</v>
      </c>
      <c r="K50" s="223">
        <v>5000</v>
      </c>
      <c r="L50" s="223">
        <v>5000</v>
      </c>
      <c r="M50" s="223">
        <v>3000</v>
      </c>
      <c r="N50" s="171"/>
    </row>
    <row r="51" spans="1:14" s="152" customFormat="1" ht="54" customHeight="1">
      <c r="A51" s="167">
        <v>10</v>
      </c>
      <c r="B51" s="173" t="s">
        <v>805</v>
      </c>
      <c r="C51" s="161" t="s">
        <v>806</v>
      </c>
      <c r="D51" s="181" t="s">
        <v>807</v>
      </c>
      <c r="E51" s="163">
        <v>35162</v>
      </c>
      <c r="F51" s="163"/>
      <c r="G51" s="223"/>
      <c r="H51" s="223">
        <v>24500</v>
      </c>
      <c r="I51" s="223"/>
      <c r="J51" s="223">
        <v>6525</v>
      </c>
      <c r="K51" s="223">
        <v>3525</v>
      </c>
      <c r="L51" s="223">
        <v>0</v>
      </c>
      <c r="M51" s="223">
        <v>3000</v>
      </c>
      <c r="N51" s="171"/>
    </row>
    <row r="52" spans="1:14" s="152" customFormat="1" ht="45.75" customHeight="1">
      <c r="A52" s="167">
        <v>11</v>
      </c>
      <c r="B52" s="173" t="s">
        <v>808</v>
      </c>
      <c r="C52" s="161" t="s">
        <v>752</v>
      </c>
      <c r="D52" s="181" t="s">
        <v>809</v>
      </c>
      <c r="E52" s="163">
        <v>30630.36</v>
      </c>
      <c r="F52" s="163"/>
      <c r="G52" s="223"/>
      <c r="H52" s="223">
        <v>22700</v>
      </c>
      <c r="I52" s="223"/>
      <c r="J52" s="223">
        <v>6600</v>
      </c>
      <c r="K52" s="223">
        <v>3600</v>
      </c>
      <c r="L52" s="223">
        <v>0</v>
      </c>
      <c r="M52" s="223">
        <v>3000</v>
      </c>
      <c r="N52" s="171"/>
    </row>
    <row r="53" spans="1:14" s="152" customFormat="1" ht="52.5" customHeight="1">
      <c r="A53" s="167">
        <v>12</v>
      </c>
      <c r="B53" s="179" t="s">
        <v>810</v>
      </c>
      <c r="C53" s="161" t="s">
        <v>811</v>
      </c>
      <c r="D53" s="180" t="s">
        <v>812</v>
      </c>
      <c r="E53" s="163">
        <v>92773</v>
      </c>
      <c r="F53" s="163"/>
      <c r="G53" s="223"/>
      <c r="H53" s="223">
        <v>81754</v>
      </c>
      <c r="I53" s="223"/>
      <c r="J53" s="223">
        <v>6989</v>
      </c>
      <c r="K53" s="223">
        <v>4300</v>
      </c>
      <c r="L53" s="223">
        <v>4300</v>
      </c>
      <c r="M53" s="223">
        <v>3000</v>
      </c>
      <c r="N53" s="171"/>
    </row>
    <row r="54" spans="1:14" s="152" customFormat="1" ht="33.75" customHeight="1">
      <c r="A54" s="166" t="s">
        <v>813</v>
      </c>
      <c r="B54" s="158" t="s">
        <v>814</v>
      </c>
      <c r="C54" s="155"/>
      <c r="D54" s="156"/>
      <c r="E54" s="157">
        <f>SUM(E55:E87)</f>
        <v>3740251.3470000001</v>
      </c>
      <c r="F54" s="157">
        <f t="shared" ref="F54:M54" si="7">SUM(F55:F87)</f>
        <v>0</v>
      </c>
      <c r="G54" s="221">
        <f t="shared" si="7"/>
        <v>1380064.747</v>
      </c>
      <c r="H54" s="221">
        <f t="shared" si="7"/>
        <v>1762867.0929999999</v>
      </c>
      <c r="I54" s="221">
        <f t="shared" si="7"/>
        <v>0</v>
      </c>
      <c r="J54" s="221">
        <f t="shared" si="7"/>
        <v>1165081.3809999998</v>
      </c>
      <c r="K54" s="221">
        <f t="shared" si="7"/>
        <v>349749.81299999997</v>
      </c>
      <c r="L54" s="221">
        <f t="shared" si="7"/>
        <v>58061.318000000007</v>
      </c>
      <c r="M54" s="221">
        <f t="shared" si="7"/>
        <v>152100</v>
      </c>
      <c r="N54" s="154"/>
    </row>
    <row r="55" spans="1:14" s="152" customFormat="1" ht="59.25" customHeight="1">
      <c r="A55" s="167">
        <v>1</v>
      </c>
      <c r="B55" s="160" t="s">
        <v>815</v>
      </c>
      <c r="C55" s="161" t="s">
        <v>806</v>
      </c>
      <c r="D55" s="162" t="s">
        <v>816</v>
      </c>
      <c r="E55" s="163">
        <v>104784</v>
      </c>
      <c r="F55" s="163"/>
      <c r="G55" s="223"/>
      <c r="H55" s="223">
        <v>49300</v>
      </c>
      <c r="I55" s="223"/>
      <c r="J55" s="223">
        <v>23352.39</v>
      </c>
      <c r="K55" s="223">
        <v>5000</v>
      </c>
      <c r="L55" s="223"/>
      <c r="M55" s="223">
        <v>3000</v>
      </c>
      <c r="N55" s="162"/>
    </row>
    <row r="56" spans="1:14" s="152" customFormat="1" ht="75" customHeight="1">
      <c r="A56" s="167">
        <v>2</v>
      </c>
      <c r="B56" s="160" t="s">
        <v>817</v>
      </c>
      <c r="C56" s="161" t="s">
        <v>806</v>
      </c>
      <c r="D56" s="162" t="s">
        <v>818</v>
      </c>
      <c r="E56" s="163">
        <v>148062</v>
      </c>
      <c r="F56" s="161" t="s">
        <v>819</v>
      </c>
      <c r="G56" s="223">
        <v>172736.334</v>
      </c>
      <c r="H56" s="223">
        <v>66235.02</v>
      </c>
      <c r="I56" s="223"/>
      <c r="J56" s="223">
        <v>50000</v>
      </c>
      <c r="K56" s="223">
        <v>14500</v>
      </c>
      <c r="L56" s="223"/>
      <c r="M56" s="223">
        <v>10000</v>
      </c>
      <c r="N56" s="162"/>
    </row>
    <row r="57" spans="1:14" s="152" customFormat="1" ht="85.5" customHeight="1">
      <c r="A57" s="167">
        <v>3</v>
      </c>
      <c r="B57" s="160" t="s">
        <v>820</v>
      </c>
      <c r="C57" s="161" t="s">
        <v>789</v>
      </c>
      <c r="D57" s="182" t="s">
        <v>821</v>
      </c>
      <c r="E57" s="163">
        <v>31777</v>
      </c>
      <c r="F57" s="172"/>
      <c r="G57" s="223"/>
      <c r="H57" s="223">
        <v>9000</v>
      </c>
      <c r="I57" s="223"/>
      <c r="J57" s="223">
        <v>22777</v>
      </c>
      <c r="K57" s="223">
        <v>10777</v>
      </c>
      <c r="L57" s="223"/>
      <c r="M57" s="223">
        <v>4000</v>
      </c>
      <c r="N57" s="171"/>
    </row>
    <row r="58" spans="1:14" s="152" customFormat="1" ht="86.25" customHeight="1">
      <c r="A58" s="167">
        <v>4</v>
      </c>
      <c r="B58" s="160" t="s">
        <v>822</v>
      </c>
      <c r="C58" s="161" t="s">
        <v>745</v>
      </c>
      <c r="D58" s="182" t="s">
        <v>823</v>
      </c>
      <c r="E58" s="163">
        <v>34679</v>
      </c>
      <c r="F58" s="172"/>
      <c r="G58" s="223"/>
      <c r="H58" s="223">
        <v>10000</v>
      </c>
      <c r="I58" s="223"/>
      <c r="J58" s="223">
        <v>24679</v>
      </c>
      <c r="K58" s="223">
        <v>12679</v>
      </c>
      <c r="L58" s="223"/>
      <c r="M58" s="223">
        <v>8000</v>
      </c>
      <c r="N58" s="171"/>
    </row>
    <row r="59" spans="1:14" s="152" customFormat="1" ht="59.25" customHeight="1">
      <c r="A59" s="167">
        <v>5</v>
      </c>
      <c r="B59" s="160" t="s">
        <v>824</v>
      </c>
      <c r="C59" s="161" t="s">
        <v>825</v>
      </c>
      <c r="D59" s="162" t="s">
        <v>826</v>
      </c>
      <c r="E59" s="163">
        <v>127252</v>
      </c>
      <c r="F59" s="163"/>
      <c r="G59" s="223"/>
      <c r="H59" s="223">
        <v>88000</v>
      </c>
      <c r="I59" s="223"/>
      <c r="J59" s="223">
        <v>39252</v>
      </c>
      <c r="K59" s="223">
        <v>12000</v>
      </c>
      <c r="L59" s="223"/>
      <c r="M59" s="223">
        <v>7000</v>
      </c>
      <c r="N59" s="162"/>
    </row>
    <row r="60" spans="1:14" s="152" customFormat="1" ht="59.25" customHeight="1">
      <c r="A60" s="167">
        <v>6</v>
      </c>
      <c r="B60" s="183" t="s">
        <v>827</v>
      </c>
      <c r="C60" s="161" t="s">
        <v>828</v>
      </c>
      <c r="D60" s="171" t="s">
        <v>829</v>
      </c>
      <c r="E60" s="163">
        <v>39825.887000000002</v>
      </c>
      <c r="F60" s="159"/>
      <c r="G60" s="223"/>
      <c r="H60" s="223">
        <v>21248</v>
      </c>
      <c r="I60" s="223"/>
      <c r="J60" s="223">
        <v>10000</v>
      </c>
      <c r="K60" s="223">
        <v>5063</v>
      </c>
      <c r="L60" s="223"/>
      <c r="M60" s="223">
        <v>3000</v>
      </c>
      <c r="N60" s="171"/>
    </row>
    <row r="61" spans="1:14" s="152" customFormat="1" ht="59.25" customHeight="1">
      <c r="A61" s="167">
        <v>7</v>
      </c>
      <c r="B61" s="160" t="s">
        <v>830</v>
      </c>
      <c r="C61" s="161" t="s">
        <v>752</v>
      </c>
      <c r="D61" s="162" t="s">
        <v>831</v>
      </c>
      <c r="E61" s="163">
        <v>45472</v>
      </c>
      <c r="F61" s="184"/>
      <c r="G61" s="223"/>
      <c r="H61" s="223">
        <v>4700</v>
      </c>
      <c r="I61" s="223"/>
      <c r="J61" s="223">
        <v>40772</v>
      </c>
      <c r="K61" s="223">
        <v>5700</v>
      </c>
      <c r="L61" s="223"/>
      <c r="M61" s="223">
        <v>3000</v>
      </c>
      <c r="N61" s="162"/>
    </row>
    <row r="62" spans="1:14" s="152" customFormat="1" ht="66.75" customHeight="1">
      <c r="A62" s="167">
        <v>8</v>
      </c>
      <c r="B62" s="160" t="s">
        <v>1012</v>
      </c>
      <c r="C62" s="161" t="s">
        <v>752</v>
      </c>
      <c r="D62" s="162" t="s">
        <v>832</v>
      </c>
      <c r="E62" s="163">
        <v>75520</v>
      </c>
      <c r="F62" s="172" t="s">
        <v>833</v>
      </c>
      <c r="G62" s="223">
        <v>134043</v>
      </c>
      <c r="H62" s="223">
        <v>88202</v>
      </c>
      <c r="I62" s="223"/>
      <c r="J62" s="223">
        <v>37494</v>
      </c>
      <c r="K62" s="223">
        <v>27494</v>
      </c>
      <c r="L62" s="223">
        <v>18752</v>
      </c>
      <c r="M62" s="223">
        <v>12000</v>
      </c>
      <c r="N62" s="171"/>
    </row>
    <row r="63" spans="1:14" s="152" customFormat="1" ht="69" customHeight="1">
      <c r="A63" s="167">
        <v>9</v>
      </c>
      <c r="B63" s="173" t="s">
        <v>1013</v>
      </c>
      <c r="C63" s="161" t="s">
        <v>302</v>
      </c>
      <c r="D63" s="185" t="s">
        <v>834</v>
      </c>
      <c r="E63" s="163">
        <v>254346</v>
      </c>
      <c r="F63" s="162"/>
      <c r="G63" s="223"/>
      <c r="H63" s="223">
        <v>76800</v>
      </c>
      <c r="I63" s="223"/>
      <c r="J63" s="223">
        <v>37737</v>
      </c>
      <c r="K63" s="223">
        <v>5237</v>
      </c>
      <c r="L63" s="223"/>
      <c r="M63" s="223">
        <v>4000</v>
      </c>
      <c r="N63" s="185"/>
    </row>
    <row r="64" spans="1:14" s="152" customFormat="1" ht="59.25" customHeight="1">
      <c r="A64" s="167">
        <v>10</v>
      </c>
      <c r="B64" s="160" t="s">
        <v>835</v>
      </c>
      <c r="C64" s="161" t="s">
        <v>825</v>
      </c>
      <c r="D64" s="162" t="s">
        <v>836</v>
      </c>
      <c r="E64" s="163">
        <v>183601</v>
      </c>
      <c r="F64" s="161" t="s">
        <v>837</v>
      </c>
      <c r="G64" s="223">
        <v>209000</v>
      </c>
      <c r="H64" s="223">
        <v>150000</v>
      </c>
      <c r="I64" s="223"/>
      <c r="J64" s="223">
        <v>59921</v>
      </c>
      <c r="K64" s="223">
        <v>9921</v>
      </c>
      <c r="L64" s="223"/>
      <c r="M64" s="223">
        <v>4000</v>
      </c>
      <c r="N64" s="162"/>
    </row>
    <row r="65" spans="1:14" s="152" customFormat="1" ht="59.25" customHeight="1">
      <c r="A65" s="167">
        <v>11</v>
      </c>
      <c r="B65" s="160" t="s">
        <v>838</v>
      </c>
      <c r="C65" s="161" t="s">
        <v>825</v>
      </c>
      <c r="D65" s="162" t="s">
        <v>839</v>
      </c>
      <c r="E65" s="163">
        <v>104701</v>
      </c>
      <c r="F65" s="172"/>
      <c r="G65" s="223"/>
      <c r="H65" s="223">
        <v>68500</v>
      </c>
      <c r="I65" s="223"/>
      <c r="J65" s="223">
        <v>29754</v>
      </c>
      <c r="K65" s="223">
        <v>4500</v>
      </c>
      <c r="L65" s="223"/>
      <c r="M65" s="223">
        <v>3000</v>
      </c>
      <c r="N65" s="185"/>
    </row>
    <row r="66" spans="1:14" s="152" customFormat="1" ht="59.25" customHeight="1">
      <c r="A66" s="167">
        <v>12</v>
      </c>
      <c r="B66" s="186" t="s">
        <v>840</v>
      </c>
      <c r="C66" s="161" t="s">
        <v>825</v>
      </c>
      <c r="D66" s="169" t="s">
        <v>841</v>
      </c>
      <c r="E66" s="163">
        <v>63644.635000000002</v>
      </c>
      <c r="F66" s="172" t="s">
        <v>842</v>
      </c>
      <c r="G66" s="223">
        <v>36299</v>
      </c>
      <c r="H66" s="223">
        <v>30474.298999999999</v>
      </c>
      <c r="I66" s="223"/>
      <c r="J66" s="223">
        <v>3955</v>
      </c>
      <c r="K66" s="223">
        <v>2000</v>
      </c>
      <c r="L66" s="223"/>
      <c r="M66" s="223">
        <v>1000</v>
      </c>
      <c r="N66" s="185"/>
    </row>
    <row r="67" spans="1:14" s="152" customFormat="1" ht="59.25" customHeight="1">
      <c r="A67" s="167">
        <v>13</v>
      </c>
      <c r="B67" s="173" t="s">
        <v>843</v>
      </c>
      <c r="C67" s="161" t="s">
        <v>752</v>
      </c>
      <c r="D67" s="162" t="s">
        <v>844</v>
      </c>
      <c r="E67" s="163">
        <v>75760</v>
      </c>
      <c r="F67" s="187"/>
      <c r="G67" s="223"/>
      <c r="H67" s="223">
        <v>57500</v>
      </c>
      <c r="I67" s="223"/>
      <c r="J67" s="223">
        <v>18260</v>
      </c>
      <c r="K67" s="223">
        <v>7000</v>
      </c>
      <c r="L67" s="223"/>
      <c r="M67" s="223">
        <v>5000</v>
      </c>
      <c r="N67" s="171"/>
    </row>
    <row r="68" spans="1:14" s="152" customFormat="1" ht="54" customHeight="1">
      <c r="A68" s="167">
        <v>14</v>
      </c>
      <c r="B68" s="173" t="s">
        <v>845</v>
      </c>
      <c r="C68" s="161" t="s">
        <v>846</v>
      </c>
      <c r="D68" s="188" t="s">
        <v>847</v>
      </c>
      <c r="E68" s="163">
        <v>211298</v>
      </c>
      <c r="F68" s="161"/>
      <c r="G68" s="223"/>
      <c r="H68" s="223">
        <v>131000</v>
      </c>
      <c r="I68" s="223"/>
      <c r="J68" s="223">
        <v>80298</v>
      </c>
      <c r="K68" s="223">
        <v>50298</v>
      </c>
      <c r="L68" s="223"/>
      <c r="M68" s="223">
        <v>16000</v>
      </c>
      <c r="N68" s="185"/>
    </row>
    <row r="69" spans="1:14" s="152" customFormat="1" ht="52.5" customHeight="1">
      <c r="A69" s="167">
        <v>15</v>
      </c>
      <c r="B69" s="168" t="s">
        <v>1014</v>
      </c>
      <c r="C69" s="161" t="s">
        <v>828</v>
      </c>
      <c r="D69" s="169" t="s">
        <v>848</v>
      </c>
      <c r="E69" s="163">
        <v>178922</v>
      </c>
      <c r="F69" s="170"/>
      <c r="G69" s="223"/>
      <c r="H69" s="223">
        <v>46048</v>
      </c>
      <c r="I69" s="223"/>
      <c r="J69" s="223">
        <v>8788</v>
      </c>
      <c r="K69" s="223">
        <v>8788</v>
      </c>
      <c r="L69" s="223"/>
      <c r="M69" s="223">
        <v>5000</v>
      </c>
      <c r="N69" s="171"/>
    </row>
    <row r="70" spans="1:14" s="152" customFormat="1" ht="87" customHeight="1">
      <c r="A70" s="167">
        <v>16</v>
      </c>
      <c r="B70" s="160" t="s">
        <v>1015</v>
      </c>
      <c r="C70" s="161" t="s">
        <v>768</v>
      </c>
      <c r="D70" s="162" t="s">
        <v>1016</v>
      </c>
      <c r="E70" s="163">
        <v>126000</v>
      </c>
      <c r="F70" s="276" t="s">
        <v>1017</v>
      </c>
      <c r="G70" s="277">
        <v>123175</v>
      </c>
      <c r="H70" s="223">
        <v>19537</v>
      </c>
      <c r="I70" s="223"/>
      <c r="J70" s="223">
        <v>37800</v>
      </c>
      <c r="K70" s="223">
        <v>7800</v>
      </c>
      <c r="L70" s="223"/>
      <c r="M70" s="223">
        <v>4000</v>
      </c>
      <c r="N70" s="171"/>
    </row>
    <row r="71" spans="1:14" s="152" customFormat="1" ht="51.75" customHeight="1">
      <c r="A71" s="167">
        <v>17</v>
      </c>
      <c r="B71" s="160" t="s">
        <v>1018</v>
      </c>
      <c r="C71" s="161" t="s">
        <v>846</v>
      </c>
      <c r="D71" s="162" t="s">
        <v>849</v>
      </c>
      <c r="E71" s="163">
        <v>33445</v>
      </c>
      <c r="F71" s="163"/>
      <c r="G71" s="223"/>
      <c r="H71" s="223">
        <v>10000</v>
      </c>
      <c r="I71" s="223"/>
      <c r="J71" s="223">
        <v>23445</v>
      </c>
      <c r="K71" s="223">
        <v>4455</v>
      </c>
      <c r="L71" s="223"/>
      <c r="M71" s="223">
        <v>3000</v>
      </c>
      <c r="N71" s="162"/>
    </row>
    <row r="72" spans="1:14" s="152" customFormat="1" ht="54" customHeight="1">
      <c r="A72" s="167">
        <v>18</v>
      </c>
      <c r="B72" s="173" t="s">
        <v>850</v>
      </c>
      <c r="C72" s="161" t="s">
        <v>846</v>
      </c>
      <c r="D72" s="188" t="s">
        <v>851</v>
      </c>
      <c r="E72" s="163">
        <v>164260</v>
      </c>
      <c r="F72" s="162" t="s">
        <v>852</v>
      </c>
      <c r="G72" s="223">
        <v>174670.413</v>
      </c>
      <c r="H72" s="223">
        <v>108455.6</v>
      </c>
      <c r="I72" s="223"/>
      <c r="J72" s="223">
        <v>66214.812999999995</v>
      </c>
      <c r="K72" s="223">
        <v>39714.812999999995</v>
      </c>
      <c r="L72" s="223"/>
      <c r="M72" s="223">
        <v>10000</v>
      </c>
      <c r="N72" s="185"/>
    </row>
    <row r="73" spans="1:14" s="152" customFormat="1" ht="50.25" customHeight="1">
      <c r="A73" s="167">
        <v>19</v>
      </c>
      <c r="B73" s="173" t="s">
        <v>853</v>
      </c>
      <c r="C73" s="161" t="s">
        <v>768</v>
      </c>
      <c r="D73" s="188" t="s">
        <v>854</v>
      </c>
      <c r="E73" s="163">
        <v>38758.800000000003</v>
      </c>
      <c r="F73" s="162"/>
      <c r="G73" s="223"/>
      <c r="H73" s="223">
        <v>16138</v>
      </c>
      <c r="I73" s="223"/>
      <c r="J73" s="223">
        <v>22620.800000000003</v>
      </c>
      <c r="K73" s="223">
        <v>4700</v>
      </c>
      <c r="L73" s="223"/>
      <c r="M73" s="223">
        <v>3000</v>
      </c>
      <c r="N73" s="185"/>
    </row>
    <row r="74" spans="1:14" s="152" customFormat="1" ht="48" customHeight="1">
      <c r="A74" s="167">
        <v>20</v>
      </c>
      <c r="B74" s="160" t="s">
        <v>855</v>
      </c>
      <c r="C74" s="161" t="s">
        <v>302</v>
      </c>
      <c r="D74" s="162" t="s">
        <v>856</v>
      </c>
      <c r="E74" s="163">
        <v>62417</v>
      </c>
      <c r="F74" s="161" t="s">
        <v>857</v>
      </c>
      <c r="G74" s="223">
        <v>113800</v>
      </c>
      <c r="H74" s="223">
        <v>72000</v>
      </c>
      <c r="I74" s="223"/>
      <c r="J74" s="223">
        <v>35000</v>
      </c>
      <c r="K74" s="223">
        <v>3000</v>
      </c>
      <c r="L74" s="223"/>
      <c r="M74" s="223">
        <v>2000</v>
      </c>
      <c r="N74" s="162"/>
    </row>
    <row r="75" spans="1:14" s="152" customFormat="1" ht="51" customHeight="1">
      <c r="A75" s="167">
        <v>21</v>
      </c>
      <c r="B75" s="168" t="s">
        <v>858</v>
      </c>
      <c r="C75" s="161" t="s">
        <v>766</v>
      </c>
      <c r="D75" s="170" t="s">
        <v>859</v>
      </c>
      <c r="E75" s="163">
        <v>75343</v>
      </c>
      <c r="F75" s="170" t="s">
        <v>860</v>
      </c>
      <c r="G75" s="223">
        <v>99231</v>
      </c>
      <c r="H75" s="223">
        <v>38165</v>
      </c>
      <c r="I75" s="223"/>
      <c r="J75" s="223">
        <v>3266</v>
      </c>
      <c r="K75" s="223">
        <v>3266</v>
      </c>
      <c r="L75" s="223"/>
      <c r="M75" s="223">
        <v>2000</v>
      </c>
      <c r="N75" s="185"/>
    </row>
    <row r="76" spans="1:14" s="152" customFormat="1" ht="59.25" customHeight="1">
      <c r="A76" s="167">
        <v>22</v>
      </c>
      <c r="B76" s="186" t="s">
        <v>1019</v>
      </c>
      <c r="C76" s="161" t="s">
        <v>766</v>
      </c>
      <c r="D76" s="169" t="s">
        <v>861</v>
      </c>
      <c r="E76" s="163">
        <v>169563</v>
      </c>
      <c r="F76" s="172"/>
      <c r="G76" s="223"/>
      <c r="H76" s="223">
        <v>56838</v>
      </c>
      <c r="I76" s="223"/>
      <c r="J76" s="223">
        <v>42894</v>
      </c>
      <c r="K76" s="223">
        <v>8000</v>
      </c>
      <c r="L76" s="223">
        <v>5328</v>
      </c>
      <c r="M76" s="223">
        <v>4000</v>
      </c>
      <c r="N76" s="185"/>
    </row>
    <row r="77" spans="1:14" s="152" customFormat="1" ht="54" customHeight="1">
      <c r="A77" s="167">
        <v>23</v>
      </c>
      <c r="B77" s="173" t="s">
        <v>1020</v>
      </c>
      <c r="C77" s="161" t="s">
        <v>825</v>
      </c>
      <c r="D77" s="162" t="s">
        <v>862</v>
      </c>
      <c r="E77" s="163">
        <v>98042</v>
      </c>
      <c r="F77" s="161"/>
      <c r="G77" s="223"/>
      <c r="H77" s="223">
        <v>46939</v>
      </c>
      <c r="I77" s="223"/>
      <c r="J77" s="223">
        <v>35000</v>
      </c>
      <c r="K77" s="223">
        <v>9600</v>
      </c>
      <c r="L77" s="223"/>
      <c r="M77" s="223">
        <v>5100</v>
      </c>
      <c r="N77" s="185"/>
    </row>
    <row r="78" spans="1:14" s="152" customFormat="1" ht="66.75" customHeight="1">
      <c r="A78" s="167">
        <v>24</v>
      </c>
      <c r="B78" s="186" t="s">
        <v>1021</v>
      </c>
      <c r="C78" s="161" t="s">
        <v>789</v>
      </c>
      <c r="D78" s="169" t="s">
        <v>863</v>
      </c>
      <c r="E78" s="163">
        <v>184997.394</v>
      </c>
      <c r="F78" s="172"/>
      <c r="G78" s="223"/>
      <c r="H78" s="223">
        <v>42175.173999999999</v>
      </c>
      <c r="I78" s="223"/>
      <c r="J78" s="223">
        <v>33316</v>
      </c>
      <c r="K78" s="223">
        <v>5780</v>
      </c>
      <c r="L78" s="223"/>
      <c r="M78" s="223">
        <v>4000</v>
      </c>
      <c r="N78" s="171"/>
    </row>
    <row r="79" spans="1:14" s="152" customFormat="1" ht="64.5" customHeight="1">
      <c r="A79" s="167">
        <v>25</v>
      </c>
      <c r="B79" s="189" t="s">
        <v>864</v>
      </c>
      <c r="C79" s="161" t="s">
        <v>789</v>
      </c>
      <c r="D79" s="161" t="s">
        <v>865</v>
      </c>
      <c r="E79" s="163">
        <v>143448.77299999999</v>
      </c>
      <c r="F79" s="161">
        <v>0</v>
      </c>
      <c r="G79" s="223">
        <v>0</v>
      </c>
      <c r="H79" s="223">
        <v>22600</v>
      </c>
      <c r="I79" s="223"/>
      <c r="J79" s="223">
        <v>95657</v>
      </c>
      <c r="K79" s="223">
        <v>4000</v>
      </c>
      <c r="L79" s="223">
        <v>2795.1150000000052</v>
      </c>
      <c r="M79" s="223">
        <v>2000</v>
      </c>
      <c r="N79" s="171"/>
    </row>
    <row r="80" spans="1:14" s="152" customFormat="1" ht="59.25" customHeight="1">
      <c r="A80" s="167">
        <v>26</v>
      </c>
      <c r="B80" s="160" t="s">
        <v>1022</v>
      </c>
      <c r="C80" s="161" t="s">
        <v>806</v>
      </c>
      <c r="D80" s="162" t="s">
        <v>959</v>
      </c>
      <c r="E80" s="163">
        <v>138000</v>
      </c>
      <c r="F80" s="163"/>
      <c r="G80" s="223"/>
      <c r="H80" s="223">
        <v>31500</v>
      </c>
      <c r="I80" s="223"/>
      <c r="J80" s="223">
        <v>38810</v>
      </c>
      <c r="K80" s="223">
        <v>5000</v>
      </c>
      <c r="L80" s="223"/>
      <c r="M80" s="223">
        <v>3000</v>
      </c>
      <c r="N80" s="162"/>
    </row>
    <row r="81" spans="1:14" s="152" customFormat="1" ht="65.25" customHeight="1">
      <c r="A81" s="167">
        <v>27</v>
      </c>
      <c r="B81" s="186" t="s">
        <v>1023</v>
      </c>
      <c r="C81" s="161" t="s">
        <v>866</v>
      </c>
      <c r="D81" s="169" t="s">
        <v>867</v>
      </c>
      <c r="E81" s="163">
        <v>157315</v>
      </c>
      <c r="F81" s="172"/>
      <c r="G81" s="223"/>
      <c r="H81" s="223">
        <v>30000</v>
      </c>
      <c r="I81" s="223"/>
      <c r="J81" s="223">
        <v>50331.451000000001</v>
      </c>
      <c r="K81" s="223">
        <v>9000</v>
      </c>
      <c r="L81" s="223">
        <v>5013</v>
      </c>
      <c r="M81" s="223">
        <v>4000</v>
      </c>
      <c r="N81" s="162"/>
    </row>
    <row r="82" spans="1:14" s="152" customFormat="1" ht="121.5" customHeight="1">
      <c r="A82" s="167">
        <v>28</v>
      </c>
      <c r="B82" s="176" t="s">
        <v>868</v>
      </c>
      <c r="C82" s="161" t="s">
        <v>869</v>
      </c>
      <c r="D82" s="172" t="s">
        <v>870</v>
      </c>
      <c r="E82" s="163">
        <v>142517</v>
      </c>
      <c r="F82" s="172"/>
      <c r="G82" s="223"/>
      <c r="H82" s="223">
        <v>74000</v>
      </c>
      <c r="I82" s="223"/>
      <c r="J82" s="223">
        <v>68517</v>
      </c>
      <c r="K82" s="223">
        <v>15000</v>
      </c>
      <c r="L82" s="223"/>
      <c r="M82" s="223">
        <v>4000</v>
      </c>
      <c r="N82" s="171"/>
    </row>
    <row r="83" spans="1:14" s="152" customFormat="1" ht="51.75" customHeight="1">
      <c r="A83" s="167">
        <v>29</v>
      </c>
      <c r="B83" s="179" t="s">
        <v>1024</v>
      </c>
      <c r="C83" s="161" t="s">
        <v>871</v>
      </c>
      <c r="D83" s="180" t="s">
        <v>872</v>
      </c>
      <c r="E83" s="163">
        <v>217778</v>
      </c>
      <c r="F83" s="278" t="s">
        <v>1025</v>
      </c>
      <c r="G83" s="277">
        <v>167344</v>
      </c>
      <c r="H83" s="223">
        <v>118000</v>
      </c>
      <c r="I83" s="223"/>
      <c r="J83" s="223">
        <v>34599</v>
      </c>
      <c r="K83" s="223">
        <v>26599</v>
      </c>
      <c r="L83" s="223">
        <v>23599</v>
      </c>
      <c r="M83" s="223">
        <v>4000</v>
      </c>
      <c r="N83" s="171"/>
    </row>
    <row r="84" spans="1:14" s="152" customFormat="1" ht="51" customHeight="1">
      <c r="A84" s="167">
        <v>30</v>
      </c>
      <c r="B84" s="190" t="s">
        <v>873</v>
      </c>
      <c r="C84" s="161" t="s">
        <v>806</v>
      </c>
      <c r="D84" s="191" t="s">
        <v>874</v>
      </c>
      <c r="E84" s="163">
        <v>102937</v>
      </c>
      <c r="F84" s="161"/>
      <c r="G84" s="223"/>
      <c r="H84" s="223">
        <v>12500</v>
      </c>
      <c r="I84" s="223"/>
      <c r="J84" s="223">
        <v>52516</v>
      </c>
      <c r="K84" s="223">
        <v>8560</v>
      </c>
      <c r="L84" s="223">
        <v>2574.2030000000013</v>
      </c>
      <c r="M84" s="223">
        <v>3000</v>
      </c>
      <c r="N84" s="171"/>
    </row>
    <row r="85" spans="1:14" s="152" customFormat="1" ht="59.25" customHeight="1">
      <c r="A85" s="167">
        <v>31</v>
      </c>
      <c r="B85" s="160" t="s">
        <v>1026</v>
      </c>
      <c r="C85" s="161" t="s">
        <v>825</v>
      </c>
      <c r="D85" s="182" t="s">
        <v>875</v>
      </c>
      <c r="E85" s="163">
        <v>65318.858</v>
      </c>
      <c r="F85" s="172"/>
      <c r="G85" s="223"/>
      <c r="H85" s="223">
        <v>47300</v>
      </c>
      <c r="I85" s="223"/>
      <c r="J85" s="223">
        <v>8000</v>
      </c>
      <c r="K85" s="223">
        <v>3500</v>
      </c>
      <c r="L85" s="223"/>
      <c r="M85" s="223">
        <v>2000</v>
      </c>
      <c r="N85" s="185"/>
    </row>
    <row r="86" spans="1:14" s="152" customFormat="1" ht="54">
      <c r="A86" s="167">
        <v>32</v>
      </c>
      <c r="B86" s="173" t="s">
        <v>1027</v>
      </c>
      <c r="C86" s="161" t="s">
        <v>846</v>
      </c>
      <c r="D86" s="185" t="s">
        <v>876</v>
      </c>
      <c r="E86" s="163">
        <v>96205</v>
      </c>
      <c r="F86" s="192" t="s">
        <v>877</v>
      </c>
      <c r="G86" s="223">
        <v>88636</v>
      </c>
      <c r="H86" s="223">
        <v>75800</v>
      </c>
      <c r="I86" s="223"/>
      <c r="J86" s="223">
        <v>12836</v>
      </c>
      <c r="K86" s="223">
        <v>4518</v>
      </c>
      <c r="L86" s="223"/>
      <c r="M86" s="223">
        <v>2000</v>
      </c>
      <c r="N86" s="185"/>
    </row>
    <row r="87" spans="1:14" s="152" customFormat="1" ht="58.5" customHeight="1">
      <c r="A87" s="167">
        <v>33</v>
      </c>
      <c r="B87" s="189" t="s">
        <v>1028</v>
      </c>
      <c r="C87" s="161" t="s">
        <v>752</v>
      </c>
      <c r="D87" s="162" t="s">
        <v>878</v>
      </c>
      <c r="E87" s="163">
        <v>44261</v>
      </c>
      <c r="F87" s="172" t="s">
        <v>879</v>
      </c>
      <c r="G87" s="223">
        <v>61130</v>
      </c>
      <c r="H87" s="223">
        <v>43912</v>
      </c>
      <c r="I87" s="223"/>
      <c r="J87" s="223">
        <v>17218.927000000003</v>
      </c>
      <c r="K87" s="223">
        <v>6300</v>
      </c>
      <c r="L87" s="223"/>
      <c r="M87" s="223">
        <v>3000</v>
      </c>
      <c r="N87" s="171"/>
    </row>
    <row r="88" spans="1:14" s="152" customFormat="1" ht="66" customHeight="1">
      <c r="A88" s="156" t="s">
        <v>266</v>
      </c>
      <c r="B88" s="193" t="s">
        <v>880</v>
      </c>
      <c r="C88" s="194"/>
      <c r="D88" s="195"/>
      <c r="E88" s="157">
        <f>+E89+E98</f>
        <v>1426531.1820000003</v>
      </c>
      <c r="F88" s="157">
        <f t="shared" ref="F88:M88" si="8">+F89+F98</f>
        <v>0</v>
      </c>
      <c r="G88" s="221">
        <f t="shared" si="8"/>
        <v>313844.73</v>
      </c>
      <c r="H88" s="221">
        <f t="shared" si="8"/>
        <v>694939.88599999994</v>
      </c>
      <c r="I88" s="221">
        <f t="shared" si="8"/>
        <v>0</v>
      </c>
      <c r="J88" s="221">
        <f t="shared" si="8"/>
        <v>723368.55200000003</v>
      </c>
      <c r="K88" s="221">
        <f t="shared" si="8"/>
        <v>244268.91999999998</v>
      </c>
      <c r="L88" s="221">
        <f t="shared" si="8"/>
        <v>13077</v>
      </c>
      <c r="M88" s="221">
        <f t="shared" si="8"/>
        <v>146800</v>
      </c>
      <c r="N88" s="157"/>
    </row>
    <row r="89" spans="1:14" s="152" customFormat="1" ht="46.5" customHeight="1">
      <c r="A89" s="196" t="s">
        <v>787</v>
      </c>
      <c r="B89" s="193" t="s">
        <v>788</v>
      </c>
      <c r="C89" s="194"/>
      <c r="D89" s="195"/>
      <c r="E89" s="157">
        <f>SUM(E90:E97)</f>
        <v>222826.33000000002</v>
      </c>
      <c r="F89" s="157">
        <f t="shared" ref="F89:M89" si="9">SUM(F90:F97)</f>
        <v>0</v>
      </c>
      <c r="G89" s="221">
        <f t="shared" si="9"/>
        <v>127524.49099999999</v>
      </c>
      <c r="H89" s="221">
        <f t="shared" si="9"/>
        <v>127780.571</v>
      </c>
      <c r="I89" s="221">
        <f t="shared" si="9"/>
        <v>0</v>
      </c>
      <c r="J89" s="221">
        <f t="shared" si="9"/>
        <v>90578.64</v>
      </c>
      <c r="K89" s="221">
        <f t="shared" si="9"/>
        <v>29736</v>
      </c>
      <c r="L89" s="221">
        <f t="shared" si="9"/>
        <v>8000</v>
      </c>
      <c r="M89" s="221">
        <f t="shared" si="9"/>
        <v>21300</v>
      </c>
      <c r="N89" s="157"/>
    </row>
    <row r="90" spans="1:14" s="152" customFormat="1" ht="77.25" customHeight="1">
      <c r="A90" s="197">
        <v>1</v>
      </c>
      <c r="B90" s="198" t="s">
        <v>881</v>
      </c>
      <c r="C90" s="199" t="s">
        <v>302</v>
      </c>
      <c r="D90" s="199" t="s">
        <v>882</v>
      </c>
      <c r="E90" s="163">
        <v>50185.963000000003</v>
      </c>
      <c r="F90" s="200"/>
      <c r="G90" s="223"/>
      <c r="H90" s="223">
        <v>13790</v>
      </c>
      <c r="I90" s="223"/>
      <c r="J90" s="223">
        <v>5618.64</v>
      </c>
      <c r="K90" s="223">
        <v>2300</v>
      </c>
      <c r="L90" s="223"/>
      <c r="M90" s="223">
        <v>2000</v>
      </c>
      <c r="N90" s="185"/>
    </row>
    <row r="91" spans="1:14" s="152" customFormat="1" ht="48.75" customHeight="1">
      <c r="A91" s="159">
        <v>2</v>
      </c>
      <c r="B91" s="168" t="s">
        <v>883</v>
      </c>
      <c r="C91" s="161" t="s">
        <v>806</v>
      </c>
      <c r="D91" s="169" t="s">
        <v>884</v>
      </c>
      <c r="E91" s="163">
        <v>23195.366999999998</v>
      </c>
      <c r="F91" s="201"/>
      <c r="G91" s="223"/>
      <c r="H91" s="223">
        <v>8941</v>
      </c>
      <c r="I91" s="223"/>
      <c r="J91" s="223">
        <v>7400</v>
      </c>
      <c r="K91" s="223">
        <v>3000</v>
      </c>
      <c r="L91" s="223">
        <v>3000</v>
      </c>
      <c r="M91" s="223">
        <v>2000</v>
      </c>
      <c r="N91" s="171"/>
    </row>
    <row r="92" spans="1:14" s="152" customFormat="1" ht="54" customHeight="1">
      <c r="A92" s="197">
        <v>3</v>
      </c>
      <c r="B92" s="202" t="s">
        <v>1029</v>
      </c>
      <c r="C92" s="203"/>
      <c r="D92" s="204" t="s">
        <v>885</v>
      </c>
      <c r="E92" s="163">
        <v>10646</v>
      </c>
      <c r="F92" s="205"/>
      <c r="G92" s="223"/>
      <c r="H92" s="223">
        <v>8153.5709999999999</v>
      </c>
      <c r="I92" s="223"/>
      <c r="J92" s="223">
        <v>1748</v>
      </c>
      <c r="K92" s="223">
        <v>1748</v>
      </c>
      <c r="L92" s="223"/>
      <c r="M92" s="223">
        <v>1500</v>
      </c>
      <c r="N92" s="162"/>
    </row>
    <row r="93" spans="1:14" s="152" customFormat="1" ht="59.25" customHeight="1">
      <c r="A93" s="159">
        <v>4</v>
      </c>
      <c r="B93" s="206" t="s">
        <v>886</v>
      </c>
      <c r="C93" s="203" t="s">
        <v>302</v>
      </c>
      <c r="D93" s="188" t="s">
        <v>887</v>
      </c>
      <c r="E93" s="163">
        <v>75328</v>
      </c>
      <c r="F93" s="205" t="s">
        <v>888</v>
      </c>
      <c r="G93" s="223">
        <v>109237.49099999999</v>
      </c>
      <c r="H93" s="223">
        <v>52200</v>
      </c>
      <c r="I93" s="223"/>
      <c r="J93" s="223">
        <v>57037</v>
      </c>
      <c r="K93" s="223">
        <v>5000</v>
      </c>
      <c r="L93" s="223">
        <v>5000</v>
      </c>
      <c r="M93" s="223">
        <v>3000</v>
      </c>
      <c r="N93" s="162"/>
    </row>
    <row r="94" spans="1:14" s="152" customFormat="1" ht="77.25" customHeight="1">
      <c r="A94" s="197">
        <v>5</v>
      </c>
      <c r="B94" s="207" t="s">
        <v>1030</v>
      </c>
      <c r="C94" s="205" t="s">
        <v>889</v>
      </c>
      <c r="D94" s="185" t="s">
        <v>890</v>
      </c>
      <c r="E94" s="163">
        <v>18287</v>
      </c>
      <c r="F94" s="205" t="s">
        <v>891</v>
      </c>
      <c r="G94" s="223">
        <v>18287</v>
      </c>
      <c r="H94" s="223">
        <v>14200</v>
      </c>
      <c r="I94" s="223"/>
      <c r="J94" s="223">
        <v>4087</v>
      </c>
      <c r="K94" s="223">
        <v>3000</v>
      </c>
      <c r="L94" s="223"/>
      <c r="M94" s="223">
        <v>1000</v>
      </c>
      <c r="N94" s="162"/>
    </row>
    <row r="95" spans="1:14" s="152" customFormat="1" ht="59.25" customHeight="1">
      <c r="A95" s="159">
        <v>6</v>
      </c>
      <c r="B95" s="208" t="s">
        <v>892</v>
      </c>
      <c r="C95" s="205" t="s">
        <v>309</v>
      </c>
      <c r="D95" s="209" t="s">
        <v>893</v>
      </c>
      <c r="E95" s="163">
        <v>13808</v>
      </c>
      <c r="F95" s="205"/>
      <c r="G95" s="223"/>
      <c r="H95" s="223">
        <v>9487</v>
      </c>
      <c r="I95" s="223"/>
      <c r="J95" s="223">
        <v>4321</v>
      </c>
      <c r="K95" s="223">
        <v>4321</v>
      </c>
      <c r="L95" s="223"/>
      <c r="M95" s="223">
        <v>3000</v>
      </c>
      <c r="N95" s="185"/>
    </row>
    <row r="96" spans="1:14" s="152" customFormat="1" ht="59.25" customHeight="1">
      <c r="A96" s="197">
        <v>7</v>
      </c>
      <c r="B96" s="160" t="s">
        <v>894</v>
      </c>
      <c r="C96" s="161" t="s">
        <v>895</v>
      </c>
      <c r="D96" s="162" t="s">
        <v>960</v>
      </c>
      <c r="E96" s="163">
        <v>20876</v>
      </c>
      <c r="F96" s="201"/>
      <c r="G96" s="223"/>
      <c r="H96" s="223">
        <v>16009</v>
      </c>
      <c r="I96" s="223"/>
      <c r="J96" s="223">
        <v>4867</v>
      </c>
      <c r="K96" s="223">
        <v>4867</v>
      </c>
      <c r="L96" s="223"/>
      <c r="M96" s="223">
        <v>4000</v>
      </c>
      <c r="N96" s="185"/>
    </row>
    <row r="97" spans="1:14" s="152" customFormat="1" ht="49.5" customHeight="1">
      <c r="A97" s="159">
        <v>8</v>
      </c>
      <c r="B97" s="202" t="s">
        <v>1031</v>
      </c>
      <c r="C97" s="203" t="s">
        <v>302</v>
      </c>
      <c r="D97" s="162"/>
      <c r="E97" s="163">
        <v>10500</v>
      </c>
      <c r="F97" s="205"/>
      <c r="G97" s="223"/>
      <c r="H97" s="223">
        <v>5000</v>
      </c>
      <c r="I97" s="223"/>
      <c r="J97" s="223">
        <v>5500</v>
      </c>
      <c r="K97" s="223">
        <v>5500</v>
      </c>
      <c r="L97" s="223"/>
      <c r="M97" s="223">
        <v>4800</v>
      </c>
      <c r="N97" s="162"/>
    </row>
    <row r="98" spans="1:14" s="152" customFormat="1" ht="37.5" customHeight="1">
      <c r="A98" s="210" t="s">
        <v>813</v>
      </c>
      <c r="B98" s="211" t="s">
        <v>814</v>
      </c>
      <c r="C98" s="212"/>
      <c r="D98" s="213"/>
      <c r="E98" s="157">
        <f>SUM(E99:E129)</f>
        <v>1203704.8520000002</v>
      </c>
      <c r="F98" s="157">
        <f t="shared" ref="F98:M98" si="10">SUM(F99:F129)</f>
        <v>0</v>
      </c>
      <c r="G98" s="221">
        <f t="shared" si="10"/>
        <v>186320.239</v>
      </c>
      <c r="H98" s="221">
        <f t="shared" si="10"/>
        <v>567159.31499999994</v>
      </c>
      <c r="I98" s="221">
        <f t="shared" si="10"/>
        <v>0</v>
      </c>
      <c r="J98" s="221">
        <f t="shared" si="10"/>
        <v>632789.91200000001</v>
      </c>
      <c r="K98" s="221">
        <f t="shared" si="10"/>
        <v>214532.91999999998</v>
      </c>
      <c r="L98" s="221">
        <f t="shared" si="10"/>
        <v>5077</v>
      </c>
      <c r="M98" s="221">
        <f t="shared" si="10"/>
        <v>125500</v>
      </c>
      <c r="N98" s="212"/>
    </row>
    <row r="99" spans="1:14" s="152" customFormat="1" ht="48.75" customHeight="1">
      <c r="A99" s="165">
        <v>1</v>
      </c>
      <c r="B99" s="214" t="s">
        <v>896</v>
      </c>
      <c r="C99" s="215" t="s">
        <v>806</v>
      </c>
      <c r="D99" s="162" t="s">
        <v>897</v>
      </c>
      <c r="E99" s="163">
        <v>35892</v>
      </c>
      <c r="F99" s="161"/>
      <c r="G99" s="223"/>
      <c r="H99" s="223">
        <v>22000</v>
      </c>
      <c r="I99" s="223"/>
      <c r="J99" s="223">
        <v>13892</v>
      </c>
      <c r="K99" s="223">
        <v>5500</v>
      </c>
      <c r="L99" s="223"/>
      <c r="M99" s="223">
        <v>4000</v>
      </c>
      <c r="N99" s="162"/>
    </row>
    <row r="100" spans="1:14" s="152" customFormat="1" ht="49.5" customHeight="1">
      <c r="A100" s="159">
        <v>2</v>
      </c>
      <c r="B100" s="216" t="s">
        <v>1032</v>
      </c>
      <c r="C100" s="161" t="s">
        <v>898</v>
      </c>
      <c r="D100" s="192" t="s">
        <v>899</v>
      </c>
      <c r="E100" s="163">
        <v>97633</v>
      </c>
      <c r="F100" s="161" t="s">
        <v>900</v>
      </c>
      <c r="G100" s="223">
        <v>153366.239</v>
      </c>
      <c r="H100" s="223">
        <v>136369.315</v>
      </c>
      <c r="I100" s="223"/>
      <c r="J100" s="223">
        <v>11500</v>
      </c>
      <c r="K100" s="223">
        <v>3200</v>
      </c>
      <c r="L100" s="223"/>
      <c r="M100" s="223">
        <v>2500</v>
      </c>
      <c r="N100" s="162"/>
    </row>
    <row r="101" spans="1:14" s="152" customFormat="1" ht="47.25" customHeight="1">
      <c r="A101" s="165">
        <v>3</v>
      </c>
      <c r="B101" s="160" t="s">
        <v>901</v>
      </c>
      <c r="C101" s="161" t="s">
        <v>752</v>
      </c>
      <c r="D101" s="162" t="s">
        <v>902</v>
      </c>
      <c r="E101" s="163">
        <v>79691</v>
      </c>
      <c r="F101" s="201"/>
      <c r="G101" s="223"/>
      <c r="H101" s="223">
        <v>5300</v>
      </c>
      <c r="I101" s="223"/>
      <c r="J101" s="223">
        <v>74391</v>
      </c>
      <c r="K101" s="223">
        <v>44391</v>
      </c>
      <c r="L101" s="223"/>
      <c r="M101" s="223">
        <v>15000</v>
      </c>
      <c r="N101" s="185"/>
    </row>
    <row r="102" spans="1:14" s="152" customFormat="1" ht="59.25" customHeight="1">
      <c r="A102" s="159">
        <v>4</v>
      </c>
      <c r="B102" s="183" t="s">
        <v>903</v>
      </c>
      <c r="C102" s="161" t="s">
        <v>846</v>
      </c>
      <c r="D102" s="185" t="s">
        <v>904</v>
      </c>
      <c r="E102" s="163">
        <v>59959</v>
      </c>
      <c r="F102" s="161"/>
      <c r="G102" s="223"/>
      <c r="H102" s="223">
        <v>37000</v>
      </c>
      <c r="I102" s="223"/>
      <c r="J102" s="223">
        <v>22959</v>
      </c>
      <c r="K102" s="223">
        <v>22959</v>
      </c>
      <c r="L102" s="223">
        <v>5077</v>
      </c>
      <c r="M102" s="223">
        <v>12000</v>
      </c>
      <c r="N102" s="162"/>
    </row>
    <row r="103" spans="1:14" s="152" customFormat="1" ht="48.75" customHeight="1">
      <c r="A103" s="165">
        <v>5</v>
      </c>
      <c r="B103" s="173" t="s">
        <v>905</v>
      </c>
      <c r="C103" s="161" t="s">
        <v>302</v>
      </c>
      <c r="D103" s="161" t="s">
        <v>906</v>
      </c>
      <c r="E103" s="163">
        <v>15317.021000000001</v>
      </c>
      <c r="F103" s="161"/>
      <c r="G103" s="223"/>
      <c r="H103" s="223">
        <v>1000</v>
      </c>
      <c r="I103" s="223"/>
      <c r="J103" s="223"/>
      <c r="K103" s="223">
        <v>7000</v>
      </c>
      <c r="L103" s="223"/>
      <c r="M103" s="223">
        <v>5000</v>
      </c>
      <c r="N103" s="162"/>
    </row>
    <row r="104" spans="1:14" s="152" customFormat="1" ht="81.75" customHeight="1">
      <c r="A104" s="159">
        <v>6</v>
      </c>
      <c r="B104" s="208" t="s">
        <v>907</v>
      </c>
      <c r="C104" s="205" t="s">
        <v>766</v>
      </c>
      <c r="D104" s="209" t="s">
        <v>908</v>
      </c>
      <c r="E104" s="163">
        <v>83000</v>
      </c>
      <c r="F104" s="205"/>
      <c r="G104" s="223"/>
      <c r="H104" s="223">
        <v>60278</v>
      </c>
      <c r="I104" s="223"/>
      <c r="J104" s="223">
        <v>6268</v>
      </c>
      <c r="K104" s="223">
        <v>2628</v>
      </c>
      <c r="L104" s="223"/>
      <c r="M104" s="223">
        <v>1000</v>
      </c>
      <c r="N104" s="162"/>
    </row>
    <row r="105" spans="1:14" s="152" customFormat="1" ht="59.25" customHeight="1">
      <c r="A105" s="165">
        <v>7</v>
      </c>
      <c r="B105" s="160" t="s">
        <v>909</v>
      </c>
      <c r="C105" s="161" t="s">
        <v>825</v>
      </c>
      <c r="D105" s="162" t="s">
        <v>961</v>
      </c>
      <c r="E105" s="163">
        <v>49515</v>
      </c>
      <c r="F105" s="279" t="s">
        <v>1033</v>
      </c>
      <c r="G105" s="277">
        <v>32954</v>
      </c>
      <c r="H105" s="223">
        <v>3000</v>
      </c>
      <c r="I105" s="223"/>
      <c r="J105" s="223">
        <v>46515</v>
      </c>
      <c r="K105" s="223">
        <v>8000</v>
      </c>
      <c r="L105" s="223"/>
      <c r="M105" s="223">
        <v>5000</v>
      </c>
      <c r="N105" s="185"/>
    </row>
    <row r="106" spans="1:14" s="152" customFormat="1" ht="59.25" customHeight="1">
      <c r="A106" s="159">
        <v>8</v>
      </c>
      <c r="B106" s="202" t="s">
        <v>910</v>
      </c>
      <c r="C106" s="203"/>
      <c r="D106" s="204" t="s">
        <v>911</v>
      </c>
      <c r="E106" s="163">
        <v>32278.6</v>
      </c>
      <c r="F106" s="205"/>
      <c r="G106" s="223"/>
      <c r="H106" s="223">
        <v>26100</v>
      </c>
      <c r="I106" s="223"/>
      <c r="J106" s="223">
        <v>6178.5999999999985</v>
      </c>
      <c r="K106" s="223">
        <v>3200</v>
      </c>
      <c r="L106" s="223"/>
      <c r="M106" s="223">
        <v>3000</v>
      </c>
      <c r="N106" s="162"/>
    </row>
    <row r="107" spans="1:14" s="152" customFormat="1" ht="51.75" customHeight="1">
      <c r="A107" s="165">
        <v>9</v>
      </c>
      <c r="B107" s="280" t="s">
        <v>1034</v>
      </c>
      <c r="C107" s="203" t="s">
        <v>302</v>
      </c>
      <c r="D107" s="162" t="s">
        <v>912</v>
      </c>
      <c r="E107" s="163">
        <v>9481.0779999999995</v>
      </c>
      <c r="F107" s="205"/>
      <c r="G107" s="223"/>
      <c r="H107" s="223">
        <v>4000</v>
      </c>
      <c r="I107" s="223"/>
      <c r="J107" s="223">
        <v>5481.0779999999995</v>
      </c>
      <c r="K107" s="223">
        <v>5481.0779999999995</v>
      </c>
      <c r="L107" s="223"/>
      <c r="M107" s="223">
        <v>4000</v>
      </c>
      <c r="N107" s="162"/>
    </row>
    <row r="108" spans="1:14" s="152" customFormat="1" ht="51.75" customHeight="1">
      <c r="A108" s="159">
        <v>10</v>
      </c>
      <c r="B108" s="281" t="s">
        <v>1035</v>
      </c>
      <c r="C108" s="203" t="s">
        <v>766</v>
      </c>
      <c r="D108" s="162" t="s">
        <v>913</v>
      </c>
      <c r="E108" s="163">
        <v>40000</v>
      </c>
      <c r="F108" s="205"/>
      <c r="G108" s="223"/>
      <c r="H108" s="223">
        <v>2000</v>
      </c>
      <c r="I108" s="223"/>
      <c r="J108" s="223">
        <v>38000</v>
      </c>
      <c r="K108" s="223">
        <v>5700</v>
      </c>
      <c r="L108" s="223"/>
      <c r="M108" s="223">
        <v>4000</v>
      </c>
      <c r="N108" s="162"/>
    </row>
    <row r="109" spans="1:14" s="152" customFormat="1" ht="103.5" customHeight="1">
      <c r="A109" s="165">
        <v>11</v>
      </c>
      <c r="B109" s="282" t="s">
        <v>1036</v>
      </c>
      <c r="C109" s="161" t="s">
        <v>766</v>
      </c>
      <c r="D109" s="283" t="s">
        <v>1037</v>
      </c>
      <c r="E109" s="163">
        <v>206565</v>
      </c>
      <c r="F109" s="161"/>
      <c r="G109" s="223"/>
      <c r="H109" s="223">
        <v>175911</v>
      </c>
      <c r="I109" s="223"/>
      <c r="J109" s="223">
        <v>30654</v>
      </c>
      <c r="K109" s="223">
        <v>4300</v>
      </c>
      <c r="L109" s="223"/>
      <c r="M109" s="223">
        <v>3000</v>
      </c>
      <c r="N109" s="162"/>
    </row>
    <row r="110" spans="1:14" s="152" customFormat="1" ht="56.25" customHeight="1">
      <c r="A110" s="159">
        <v>12</v>
      </c>
      <c r="B110" s="173" t="s">
        <v>914</v>
      </c>
      <c r="C110" s="161" t="s">
        <v>748</v>
      </c>
      <c r="D110" s="161" t="s">
        <v>915</v>
      </c>
      <c r="E110" s="163">
        <v>58676</v>
      </c>
      <c r="F110" s="161"/>
      <c r="G110" s="223"/>
      <c r="H110" s="223">
        <v>18000</v>
      </c>
      <c r="I110" s="223"/>
      <c r="J110" s="223">
        <v>30000</v>
      </c>
      <c r="K110" s="223">
        <v>15800</v>
      </c>
      <c r="L110" s="223"/>
      <c r="M110" s="223">
        <v>8000</v>
      </c>
      <c r="N110" s="162"/>
    </row>
    <row r="111" spans="1:14" s="152" customFormat="1" ht="51.75" customHeight="1">
      <c r="A111" s="165">
        <v>13</v>
      </c>
      <c r="B111" s="189" t="s">
        <v>916</v>
      </c>
      <c r="C111" s="161" t="s">
        <v>917</v>
      </c>
      <c r="D111" s="182" t="s">
        <v>918</v>
      </c>
      <c r="E111" s="163">
        <v>68134</v>
      </c>
      <c r="F111" s="187"/>
      <c r="G111" s="223"/>
      <c r="H111" s="223">
        <v>1865</v>
      </c>
      <c r="I111" s="223"/>
      <c r="J111" s="223">
        <v>51206</v>
      </c>
      <c r="K111" s="223">
        <v>8500</v>
      </c>
      <c r="L111" s="223"/>
      <c r="M111" s="223">
        <v>5000</v>
      </c>
      <c r="N111" s="162"/>
    </row>
    <row r="112" spans="1:14" s="152" customFormat="1" ht="50.25" customHeight="1">
      <c r="A112" s="159">
        <v>14</v>
      </c>
      <c r="B112" s="183" t="s">
        <v>919</v>
      </c>
      <c r="C112" s="185" t="s">
        <v>920</v>
      </c>
      <c r="D112" s="284" t="s">
        <v>1038</v>
      </c>
      <c r="E112" s="285">
        <v>19989.952000000001</v>
      </c>
      <c r="F112" s="217"/>
      <c r="G112" s="223"/>
      <c r="H112" s="223">
        <v>2000</v>
      </c>
      <c r="I112" s="223"/>
      <c r="J112" s="223">
        <v>18000</v>
      </c>
      <c r="K112" s="223">
        <v>2500</v>
      </c>
      <c r="L112" s="223"/>
      <c r="M112" s="223">
        <v>2000</v>
      </c>
      <c r="N112" s="162"/>
    </row>
    <row r="113" spans="1:14" s="152" customFormat="1" ht="48.75" customHeight="1">
      <c r="A113" s="165">
        <v>15</v>
      </c>
      <c r="B113" s="160" t="s">
        <v>921</v>
      </c>
      <c r="C113" s="161" t="s">
        <v>310</v>
      </c>
      <c r="D113" s="162" t="s">
        <v>922</v>
      </c>
      <c r="E113" s="163">
        <v>38569</v>
      </c>
      <c r="F113" s="201"/>
      <c r="G113" s="223"/>
      <c r="H113" s="223">
        <v>7000</v>
      </c>
      <c r="I113" s="223"/>
      <c r="J113" s="223">
        <v>31569</v>
      </c>
      <c r="K113" s="223">
        <v>4000</v>
      </c>
      <c r="L113" s="223"/>
      <c r="M113" s="223">
        <v>4000</v>
      </c>
      <c r="N113" s="162"/>
    </row>
    <row r="114" spans="1:14" s="152" customFormat="1" ht="56.25" customHeight="1">
      <c r="A114" s="159">
        <v>16</v>
      </c>
      <c r="B114" s="189" t="s">
        <v>923</v>
      </c>
      <c r="C114" s="161" t="s">
        <v>917</v>
      </c>
      <c r="D114" s="161" t="s">
        <v>924</v>
      </c>
      <c r="E114" s="163">
        <v>87181</v>
      </c>
      <c r="F114" s="161"/>
      <c r="G114" s="223"/>
      <c r="H114" s="223">
        <v>5430</v>
      </c>
      <c r="I114" s="223"/>
      <c r="J114" s="223">
        <v>81751</v>
      </c>
      <c r="K114" s="223">
        <v>6000</v>
      </c>
      <c r="L114" s="223"/>
      <c r="M114" s="223">
        <v>5000</v>
      </c>
      <c r="N114" s="162"/>
    </row>
    <row r="115" spans="1:14" s="152" customFormat="1" ht="54" customHeight="1">
      <c r="A115" s="165">
        <v>17</v>
      </c>
      <c r="B115" s="218" t="s">
        <v>925</v>
      </c>
      <c r="C115" s="161" t="s">
        <v>768</v>
      </c>
      <c r="D115" s="286" t="s">
        <v>1039</v>
      </c>
      <c r="E115" s="285">
        <v>29235</v>
      </c>
      <c r="F115" s="200"/>
      <c r="G115" s="223"/>
      <c r="H115" s="223">
        <v>2000</v>
      </c>
      <c r="I115" s="223"/>
      <c r="J115" s="223">
        <v>33736.855000000003</v>
      </c>
      <c r="K115" s="223">
        <v>3500</v>
      </c>
      <c r="L115" s="223"/>
      <c r="M115" s="223">
        <v>2000</v>
      </c>
      <c r="N115" s="199"/>
    </row>
    <row r="116" spans="1:14" s="152" customFormat="1" ht="59.25" customHeight="1">
      <c r="A116" s="159">
        <v>18</v>
      </c>
      <c r="B116" s="183" t="s">
        <v>926</v>
      </c>
      <c r="C116" s="185" t="s">
        <v>752</v>
      </c>
      <c r="D116" s="162" t="s">
        <v>927</v>
      </c>
      <c r="E116" s="163">
        <v>8992.6970000000001</v>
      </c>
      <c r="F116" s="217"/>
      <c r="G116" s="223"/>
      <c r="H116" s="223">
        <v>5906</v>
      </c>
      <c r="I116" s="223"/>
      <c r="J116" s="223">
        <v>3086.6970000000001</v>
      </c>
      <c r="K116" s="223">
        <v>3086.6970000000001</v>
      </c>
      <c r="L116" s="223"/>
      <c r="M116" s="223">
        <v>3000</v>
      </c>
      <c r="N116" s="162"/>
    </row>
    <row r="117" spans="1:14" s="152" customFormat="1" ht="59.25" customHeight="1">
      <c r="A117" s="165">
        <v>19</v>
      </c>
      <c r="B117" s="287" t="s">
        <v>1040</v>
      </c>
      <c r="C117" s="185" t="s">
        <v>752</v>
      </c>
      <c r="D117" s="162" t="s">
        <v>928</v>
      </c>
      <c r="E117" s="163">
        <v>8577.1919999999991</v>
      </c>
      <c r="F117" s="217"/>
      <c r="G117" s="223"/>
      <c r="H117" s="223">
        <v>5000</v>
      </c>
      <c r="I117" s="223"/>
      <c r="J117" s="223">
        <v>3577.1919999999991</v>
      </c>
      <c r="K117" s="223">
        <v>3577.1919999999991</v>
      </c>
      <c r="L117" s="223"/>
      <c r="M117" s="223">
        <v>3000</v>
      </c>
      <c r="N117" s="162"/>
    </row>
    <row r="118" spans="1:14" s="152" customFormat="1" ht="59.25" customHeight="1">
      <c r="A118" s="159">
        <v>20</v>
      </c>
      <c r="B118" s="183" t="s">
        <v>929</v>
      </c>
      <c r="C118" s="185" t="s">
        <v>752</v>
      </c>
      <c r="D118" s="162" t="s">
        <v>930</v>
      </c>
      <c r="E118" s="163">
        <v>14444.953</v>
      </c>
      <c r="F118" s="217"/>
      <c r="G118" s="223"/>
      <c r="H118" s="223">
        <v>4000</v>
      </c>
      <c r="I118" s="223"/>
      <c r="J118" s="223">
        <v>10444.953</v>
      </c>
      <c r="K118" s="223">
        <v>10444.953</v>
      </c>
      <c r="L118" s="223"/>
      <c r="M118" s="223">
        <v>8000</v>
      </c>
      <c r="N118" s="162"/>
    </row>
    <row r="119" spans="1:14" s="152" customFormat="1" ht="59.25" customHeight="1">
      <c r="A119" s="165">
        <v>21</v>
      </c>
      <c r="B119" s="160" t="s">
        <v>931</v>
      </c>
      <c r="C119" s="161" t="s">
        <v>932</v>
      </c>
      <c r="D119" s="162" t="s">
        <v>962</v>
      </c>
      <c r="E119" s="163">
        <v>6937</v>
      </c>
      <c r="F119" s="201"/>
      <c r="G119" s="223"/>
      <c r="H119" s="223">
        <v>2000</v>
      </c>
      <c r="I119" s="223"/>
      <c r="J119" s="223">
        <v>4937</v>
      </c>
      <c r="K119" s="223">
        <v>4937</v>
      </c>
      <c r="L119" s="223"/>
      <c r="M119" s="223">
        <v>2000</v>
      </c>
      <c r="N119" s="185"/>
    </row>
    <row r="120" spans="1:14" s="152" customFormat="1" ht="51" customHeight="1">
      <c r="A120" s="159">
        <v>22</v>
      </c>
      <c r="B120" s="281" t="s">
        <v>1041</v>
      </c>
      <c r="C120" s="203" t="s">
        <v>828</v>
      </c>
      <c r="D120" s="288" t="s">
        <v>1042</v>
      </c>
      <c r="E120" s="163">
        <v>6750</v>
      </c>
      <c r="F120" s="205"/>
      <c r="G120" s="223"/>
      <c r="H120" s="223">
        <v>2000</v>
      </c>
      <c r="I120" s="223"/>
      <c r="J120" s="223">
        <v>4750</v>
      </c>
      <c r="K120" s="223">
        <v>4750</v>
      </c>
      <c r="L120" s="223"/>
      <c r="M120" s="223">
        <v>2000</v>
      </c>
      <c r="N120" s="185"/>
    </row>
    <row r="121" spans="1:14" s="152" customFormat="1" ht="54" customHeight="1">
      <c r="A121" s="165">
        <v>23</v>
      </c>
      <c r="B121" s="216" t="s">
        <v>933</v>
      </c>
      <c r="C121" s="161" t="s">
        <v>748</v>
      </c>
      <c r="D121" s="192" t="s">
        <v>934</v>
      </c>
      <c r="E121" s="285">
        <v>12924.822</v>
      </c>
      <c r="F121" s="161"/>
      <c r="G121" s="223"/>
      <c r="H121" s="223">
        <v>8500</v>
      </c>
      <c r="I121" s="223"/>
      <c r="J121" s="223">
        <v>4424</v>
      </c>
      <c r="K121" s="223">
        <v>4424</v>
      </c>
      <c r="L121" s="223"/>
      <c r="M121" s="223">
        <v>4000</v>
      </c>
      <c r="N121" s="185"/>
    </row>
    <row r="122" spans="1:14" s="152" customFormat="1" ht="47.25" customHeight="1">
      <c r="A122" s="159">
        <v>24</v>
      </c>
      <c r="B122" s="218" t="s">
        <v>935</v>
      </c>
      <c r="C122" s="161" t="s">
        <v>302</v>
      </c>
      <c r="D122" s="199" t="s">
        <v>936</v>
      </c>
      <c r="E122" s="163">
        <v>10223</v>
      </c>
      <c r="F122" s="200"/>
      <c r="G122" s="223"/>
      <c r="H122" s="223">
        <v>3000</v>
      </c>
      <c r="I122" s="223"/>
      <c r="J122" s="223">
        <v>7223</v>
      </c>
      <c r="K122" s="223">
        <v>5223</v>
      </c>
      <c r="L122" s="223"/>
      <c r="M122" s="223">
        <v>2000</v>
      </c>
      <c r="N122" s="185"/>
    </row>
    <row r="123" spans="1:14" s="152" customFormat="1" ht="54" customHeight="1">
      <c r="A123" s="165">
        <v>25</v>
      </c>
      <c r="B123" s="183" t="s">
        <v>937</v>
      </c>
      <c r="C123" s="185" t="s">
        <v>789</v>
      </c>
      <c r="D123" s="162" t="s">
        <v>938</v>
      </c>
      <c r="E123" s="163">
        <v>12617</v>
      </c>
      <c r="F123" s="217"/>
      <c r="G123" s="223"/>
      <c r="H123" s="223">
        <v>2500</v>
      </c>
      <c r="I123" s="223"/>
      <c r="J123" s="223">
        <v>10117</v>
      </c>
      <c r="K123" s="223">
        <v>4200</v>
      </c>
      <c r="L123" s="223"/>
      <c r="M123" s="223">
        <v>3000</v>
      </c>
      <c r="N123" s="185"/>
    </row>
    <row r="124" spans="1:14" s="152" customFormat="1" ht="59.25" customHeight="1">
      <c r="A124" s="159">
        <v>26</v>
      </c>
      <c r="B124" s="183" t="s">
        <v>939</v>
      </c>
      <c r="C124" s="185" t="s">
        <v>752</v>
      </c>
      <c r="D124" s="162" t="s">
        <v>940</v>
      </c>
      <c r="E124" s="163">
        <v>14485.537</v>
      </c>
      <c r="F124" s="217"/>
      <c r="G124" s="223"/>
      <c r="H124" s="223">
        <v>3000</v>
      </c>
      <c r="I124" s="223"/>
      <c r="J124" s="223">
        <v>11485.537</v>
      </c>
      <c r="K124" s="223">
        <v>4350</v>
      </c>
      <c r="L124" s="223"/>
      <c r="M124" s="223">
        <v>3000</v>
      </c>
      <c r="N124" s="185"/>
    </row>
    <row r="125" spans="1:14" s="152" customFormat="1" ht="61.5" customHeight="1">
      <c r="A125" s="165">
        <v>27</v>
      </c>
      <c r="B125" s="160" t="s">
        <v>941</v>
      </c>
      <c r="C125" s="161" t="s">
        <v>752</v>
      </c>
      <c r="D125" s="162" t="s">
        <v>955</v>
      </c>
      <c r="E125" s="163">
        <v>9151</v>
      </c>
      <c r="F125" s="201"/>
      <c r="G125" s="223"/>
      <c r="H125" s="223">
        <v>3000</v>
      </c>
      <c r="I125" s="223"/>
      <c r="J125" s="223">
        <v>6151</v>
      </c>
      <c r="K125" s="223">
        <v>4151</v>
      </c>
      <c r="L125" s="223"/>
      <c r="M125" s="223">
        <v>2000</v>
      </c>
      <c r="N125" s="185"/>
    </row>
    <row r="126" spans="1:14" s="152" customFormat="1" ht="59.25" customHeight="1">
      <c r="A126" s="159">
        <v>28</v>
      </c>
      <c r="B126" s="219" t="s">
        <v>942</v>
      </c>
      <c r="C126" s="161" t="s">
        <v>745</v>
      </c>
      <c r="D126" s="162" t="s">
        <v>943</v>
      </c>
      <c r="E126" s="163">
        <v>29884</v>
      </c>
      <c r="F126" s="161"/>
      <c r="G126" s="223"/>
      <c r="H126" s="223">
        <v>8000</v>
      </c>
      <c r="I126" s="223"/>
      <c r="J126" s="223">
        <v>17891</v>
      </c>
      <c r="K126" s="223">
        <v>2800</v>
      </c>
      <c r="L126" s="223"/>
      <c r="M126" s="223">
        <v>2000</v>
      </c>
      <c r="N126" s="162"/>
    </row>
    <row r="127" spans="1:14" s="152" customFormat="1" ht="51" customHeight="1">
      <c r="A127" s="165">
        <v>29</v>
      </c>
      <c r="B127" s="173" t="s">
        <v>944</v>
      </c>
      <c r="C127" s="161" t="s">
        <v>945</v>
      </c>
      <c r="D127" s="161" t="s">
        <v>946</v>
      </c>
      <c r="E127" s="163">
        <v>23800</v>
      </c>
      <c r="F127" s="161"/>
      <c r="G127" s="223"/>
      <c r="H127" s="223">
        <v>2000</v>
      </c>
      <c r="I127" s="223"/>
      <c r="J127" s="223">
        <v>21800</v>
      </c>
      <c r="K127" s="223">
        <v>4000</v>
      </c>
      <c r="L127" s="223"/>
      <c r="M127" s="223">
        <v>3000</v>
      </c>
      <c r="N127" s="185"/>
    </row>
    <row r="128" spans="1:14" s="152" customFormat="1" ht="59.25" customHeight="1">
      <c r="A128" s="159">
        <v>30</v>
      </c>
      <c r="B128" s="160" t="s">
        <v>947</v>
      </c>
      <c r="C128" s="161" t="s">
        <v>745</v>
      </c>
      <c r="D128" s="162" t="s">
        <v>954</v>
      </c>
      <c r="E128" s="163">
        <v>12787</v>
      </c>
      <c r="F128" s="201"/>
      <c r="G128" s="223"/>
      <c r="H128" s="223">
        <v>6000</v>
      </c>
      <c r="I128" s="223"/>
      <c r="J128" s="223">
        <v>6787</v>
      </c>
      <c r="K128" s="223">
        <v>3430</v>
      </c>
      <c r="L128" s="223"/>
      <c r="M128" s="223">
        <v>2000</v>
      </c>
      <c r="N128" s="162"/>
    </row>
    <row r="129" spans="1:14" s="152" customFormat="1" ht="59.25" customHeight="1">
      <c r="A129" s="165">
        <v>31</v>
      </c>
      <c r="B129" s="160" t="s">
        <v>948</v>
      </c>
      <c r="C129" s="161" t="s">
        <v>302</v>
      </c>
      <c r="D129" s="162" t="s">
        <v>949</v>
      </c>
      <c r="E129" s="163">
        <v>21014</v>
      </c>
      <c r="F129" s="201"/>
      <c r="G129" s="223"/>
      <c r="H129" s="223">
        <v>3000</v>
      </c>
      <c r="I129" s="223"/>
      <c r="J129" s="223">
        <v>18014</v>
      </c>
      <c r="K129" s="223">
        <v>2500</v>
      </c>
      <c r="L129" s="223"/>
      <c r="M129" s="223">
        <v>2000</v>
      </c>
      <c r="N129" s="185"/>
    </row>
    <row r="130" spans="1:14" s="152" customFormat="1" ht="51.75" customHeight="1">
      <c r="A130" s="220" t="s">
        <v>267</v>
      </c>
      <c r="B130" s="193" t="s">
        <v>950</v>
      </c>
      <c r="C130" s="194"/>
      <c r="D130" s="195"/>
      <c r="E130" s="157">
        <f>+E131+E132</f>
        <v>8200</v>
      </c>
      <c r="F130" s="157">
        <f t="shared" ref="F130:M130" si="11">+F131+F132</f>
        <v>0</v>
      </c>
      <c r="G130" s="221">
        <f t="shared" si="11"/>
        <v>0</v>
      </c>
      <c r="H130" s="221">
        <f t="shared" si="11"/>
        <v>0</v>
      </c>
      <c r="I130" s="221">
        <f t="shared" si="11"/>
        <v>0</v>
      </c>
      <c r="J130" s="221">
        <f t="shared" si="11"/>
        <v>0</v>
      </c>
      <c r="K130" s="221">
        <f t="shared" si="11"/>
        <v>0</v>
      </c>
      <c r="L130" s="221">
        <f t="shared" si="11"/>
        <v>0</v>
      </c>
      <c r="M130" s="221">
        <f t="shared" si="11"/>
        <v>10000</v>
      </c>
      <c r="N130" s="154"/>
    </row>
    <row r="131" spans="1:14" s="152" customFormat="1" ht="40.5" customHeight="1">
      <c r="A131" s="159">
        <v>1</v>
      </c>
      <c r="B131" s="160" t="s">
        <v>951</v>
      </c>
      <c r="C131" s="161" t="s">
        <v>302</v>
      </c>
      <c r="D131" s="162"/>
      <c r="E131" s="163"/>
      <c r="F131" s="201"/>
      <c r="G131" s="223"/>
      <c r="H131" s="223"/>
      <c r="I131" s="223"/>
      <c r="J131" s="223"/>
      <c r="K131" s="223"/>
      <c r="L131" s="223"/>
      <c r="M131" s="223">
        <v>2000</v>
      </c>
      <c r="N131" s="185"/>
    </row>
    <row r="132" spans="1:14" s="152" customFormat="1" ht="64.5" customHeight="1">
      <c r="A132" s="188">
        <v>2</v>
      </c>
      <c r="B132" s="280" t="s">
        <v>1043</v>
      </c>
      <c r="C132" s="203" t="s">
        <v>302</v>
      </c>
      <c r="D132" s="162"/>
      <c r="E132" s="163">
        <v>8200</v>
      </c>
      <c r="F132" s="205"/>
      <c r="G132" s="223"/>
      <c r="H132" s="223"/>
      <c r="I132" s="223"/>
      <c r="J132" s="223"/>
      <c r="K132" s="223"/>
      <c r="L132" s="223"/>
      <c r="M132" s="223">
        <v>8000</v>
      </c>
      <c r="N132" s="162"/>
    </row>
    <row r="133" spans="1:14" s="152" customFormat="1" ht="41.25" customHeight="1">
      <c r="A133" s="150"/>
      <c r="B133" s="151"/>
      <c r="C133" s="151"/>
      <c r="D133" s="151"/>
      <c r="E133" s="151"/>
      <c r="F133" s="151"/>
      <c r="G133" s="151"/>
      <c r="H133" s="151"/>
      <c r="I133" s="151"/>
      <c r="J133" s="151"/>
      <c r="K133" s="349"/>
      <c r="L133" s="349"/>
      <c r="M133" s="349"/>
      <c r="N133" s="349"/>
    </row>
    <row r="134" spans="1:14" ht="59.25" customHeight="1"/>
  </sheetData>
  <mergeCells count="27">
    <mergeCell ref="A1:D1"/>
    <mergeCell ref="I1:N1"/>
    <mergeCell ref="A2:D2"/>
    <mergeCell ref="I2:N2"/>
    <mergeCell ref="K133:N133"/>
    <mergeCell ref="A4:N4"/>
    <mergeCell ref="K8:L9"/>
    <mergeCell ref="M8:M13"/>
    <mergeCell ref="N8:N13"/>
    <mergeCell ref="D10:D13"/>
    <mergeCell ref="E10:E13"/>
    <mergeCell ref="F10:F13"/>
    <mergeCell ref="G10:G13"/>
    <mergeCell ref="H10:H13"/>
    <mergeCell ref="I10:I13"/>
    <mergeCell ref="K10:K13"/>
    <mergeCell ref="A5:N5"/>
    <mergeCell ref="A7:N7"/>
    <mergeCell ref="A6:N6"/>
    <mergeCell ref="H8:I9"/>
    <mergeCell ref="J8:J13"/>
    <mergeCell ref="A8:A13"/>
    <mergeCell ref="B8:B13"/>
    <mergeCell ref="C8:C13"/>
    <mergeCell ref="D8:E9"/>
    <mergeCell ref="F8:G9"/>
    <mergeCell ref="L10:L13"/>
  </mergeCells>
  <printOptions horizontalCentered="1"/>
  <pageMargins left="0" right="0" top="1" bottom="0.75" header="0.3" footer="0.2"/>
  <pageSetup paperSize="8" scale="86" orientation="landscape" r:id="rId1"/>
  <headerFooter>
    <oddFooter>&amp;C&amp;P/11 (PL 08)</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Thu NSNN.PL01</vt:lpstr>
      <vt:lpstr>Chi NSNN.PL02</vt:lpstr>
      <vt:lpstr>PL03</vt:lpstr>
      <vt:lpstr>PL04</vt:lpstr>
      <vt:lpstr>PL05</vt:lpstr>
      <vt:lpstr>PL06</vt:lpstr>
      <vt:lpstr>PL07</vt:lpstr>
      <vt:lpstr>PL08</vt:lpstr>
      <vt:lpstr>'Chi NSNN.PL02'!Print_Area</vt:lpstr>
      <vt:lpstr>'PL03'!Print_Area</vt:lpstr>
      <vt:lpstr>'PL05'!Print_Area</vt:lpstr>
      <vt:lpstr>'PL06'!Print_Area</vt:lpstr>
      <vt:lpstr>'Thu NSNN.PL01'!Print_Area</vt:lpstr>
      <vt:lpstr>'Chi NSNN.PL02'!Print_Titles</vt:lpstr>
      <vt:lpstr>'PL03'!Print_Titles</vt:lpstr>
      <vt:lpstr>'PL04'!Print_Titles</vt:lpstr>
      <vt:lpstr>'PL08'!Print_Titles</vt:lpstr>
      <vt:lpstr>'Thu NSNN.PL01'!Print_Titles</vt:lpstr>
    </vt:vector>
  </TitlesOfParts>
  <Company>So Tai chinh Ha Tinh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Van Ngoc</dc:creator>
  <cp:lastModifiedBy>Admin</cp:lastModifiedBy>
  <cp:lastPrinted>2015-12-23T09:21:13Z</cp:lastPrinted>
  <dcterms:created xsi:type="dcterms:W3CDTF">2012-12-13T00:57:34Z</dcterms:created>
  <dcterms:modified xsi:type="dcterms:W3CDTF">2015-12-23T09:21:18Z</dcterms:modified>
</cp:coreProperties>
</file>